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2v8G4OzgeOmISb3g8cN9Pnij1PrUPY7BlXTWLkp83Ztc2Y2M5HfjqRzVIyQFT1gDvVVM7lSckYoqv2qB3ZU6A==" workbookSaltValue="apGwucc79Ltlg9iZrxGf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X12" i="21" s="1"/>
  <c r="Z19" i="8"/>
  <c r="AL13" i="16"/>
  <c r="BH9" i="16"/>
  <c r="V15" i="11"/>
  <c r="BJ17" i="11"/>
  <c r="BH15" i="11"/>
  <c r="BH15" i="16"/>
  <c r="Q17" i="20"/>
  <c r="Q18" i="20" s="1"/>
  <c r="BL17" i="11"/>
  <c r="BK12" i="11"/>
  <c r="BF10" i="11"/>
  <c r="BK9" i="11"/>
  <c r="S13" i="16"/>
  <c r="P13" i="16"/>
  <c r="AN13" i="20"/>
  <c r="Z13" i="17"/>
  <c r="M18" i="2"/>
  <c r="H13" i="12"/>
  <c r="T13" i="12"/>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G12" i="8"/>
  <c r="BD9" i="8"/>
  <c r="BF9" i="8"/>
  <c r="BA13" i="8"/>
  <c r="I19" i="8"/>
  <c r="S15" i="17"/>
  <c r="X15" i="16"/>
  <c r="X18" i="16" s="1"/>
  <c r="V10" i="16"/>
  <c r="T13" i="20"/>
  <c r="T13" i="16"/>
  <c r="AP13" i="16"/>
  <c r="V9" i="16"/>
  <c r="BG15" i="13"/>
  <c r="J20" i="20"/>
  <c r="AF20" i="20"/>
  <c r="M20" i="20"/>
  <c r="AG20" i="20"/>
  <c r="S20" i="20"/>
  <c r="F20" i="20"/>
  <c r="K20" i="20"/>
  <c r="Z20" i="20"/>
  <c r="AM20" i="20"/>
  <c r="AK20" i="20"/>
  <c r="W20" i="21"/>
  <c r="AN17" i="11" l="1"/>
  <c r="AJ19" i="8"/>
  <c r="AR18" i="11"/>
  <c r="AH13" i="16"/>
  <c r="AA19" i="8"/>
  <c r="AC12" i="11"/>
  <c r="BF12" i="8"/>
  <c r="E13" i="17"/>
  <c r="I10" i="3"/>
  <c r="C19" i="3"/>
  <c r="D17" i="6"/>
  <c r="G18" i="2"/>
  <c r="L9" i="2"/>
  <c r="U9" i="17"/>
  <c r="U19" i="17" s="1"/>
  <c r="L17" i="2"/>
  <c r="BL16" i="11"/>
  <c r="BJ16" i="11"/>
  <c r="AQ12" i="21"/>
  <c r="BH16" i="11"/>
  <c r="BF15" i="11"/>
  <c r="BM17" i="11"/>
  <c r="Q15" i="17"/>
  <c r="BH10" i="16"/>
  <c r="S10" i="17"/>
  <c r="AQ10" i="21"/>
  <c r="BI9" i="11"/>
  <c r="BH10" i="11"/>
  <c r="Q17" i="17"/>
  <c r="BG12" i="11"/>
  <c r="AA17" i="16"/>
  <c r="BU12" i="17"/>
  <c r="S11" i="17"/>
  <c r="BW10" i="20"/>
  <c r="BW11" i="20"/>
  <c r="BV11" i="16"/>
  <c r="BW12" i="20"/>
  <c r="BV12" i="16"/>
  <c r="BU10" i="17"/>
  <c r="BV17" i="16"/>
  <c r="BU11" i="17"/>
  <c r="AZ15" i="11"/>
  <c r="AZ18" i="11" s="1"/>
  <c r="AP17" i="20"/>
  <c r="BM15" i="11"/>
  <c r="BH17" i="11"/>
  <c r="BL11" i="11"/>
  <c r="BG9" i="11"/>
  <c r="BI17" i="11"/>
  <c r="R10" i="21"/>
  <c r="R13" i="21" s="1"/>
  <c r="BJ11" i="11"/>
  <c r="V9" i="11"/>
  <c r="BH9" i="11"/>
  <c r="BM12" i="11"/>
  <c r="AP10" i="21"/>
  <c r="S9" i="17"/>
  <c r="BK15" i="11"/>
  <c r="X11" i="17"/>
  <c r="BL12" i="11"/>
  <c r="S17" i="16"/>
  <c r="BF16" i="11"/>
  <c r="BF17" i="11"/>
  <c r="P17" i="17"/>
  <c r="BM16" i="11"/>
  <c r="BG10" i="11"/>
  <c r="BH17" i="16"/>
  <c r="BL9" i="11"/>
  <c r="BH11" i="16"/>
  <c r="BF11" i="11"/>
  <c r="BE11" i="13"/>
  <c r="BF16" i="13"/>
  <c r="BG16" i="13"/>
  <c r="BD16" i="13"/>
  <c r="BE15" i="13"/>
  <c r="BE16" i="13"/>
  <c r="BD11" i="13"/>
  <c r="F11" i="16"/>
  <c r="AP16"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AB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<sst xmlns="http://schemas.openxmlformats.org/spreadsheetml/2006/main" count="2094" uniqueCount="914">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</sst>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5oiZWEvG7zhOq7phPp0MrP69O3loYwTFtrviornAcf6IwR8OFLxS6ZvPnZpK+khMvrD3JfXETRXGjYYFxalgA==" saltValue="ZgYlajko9EwOnWWvXP5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93</v>
      </c>
      <c r="F10" s="229">
        <f>IF(ISNUMBER(Datos!K10),Datos!K10," - ")</f>
        <v>56</v>
      </c>
      <c r="G10" s="1037" t="str">
        <f>IF(Datos!E10&lt;&gt;"",Datos!E10,Datos!D10)</f>
        <v>37</v>
      </c>
      <c r="H10" s="230">
        <f>IF(ISNUMBER(Datos!L10),Datos!L10," - ")</f>
        <v>68</v>
      </c>
      <c r="I10" s="1047" t="str">
        <f>IF(ISNUMBER(Datos!AS10/Datos!BM10),Datos!AS10/Datos!BM10," - ")</f>
        <v xml:space="preserve"> - </v>
      </c>
      <c r="J10" s="1048">
        <f>IF(ISNUMBER(Datos!BY10/Datos!CN10),Datos!BY10/Datos!CN10," - ")</f>
        <v>0</v>
      </c>
      <c r="K10" s="233">
        <f t="shared" ref="K10:K12" si="1">IF(ISNUMBER((E10-F10)/C10),(E10-F10)/C10," - ")</f>
        <v>1.1935483870967742</v>
      </c>
      <c r="L10" s="1028">
        <f>IF(ISNUMBER(NºAsuntos!I10/NºAsuntos!G10),(NºAsuntos!I10/NºAsuntos!G10)*11," - ")</f>
        <v>13.357142857142856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7.8986005964670802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93</v>
      </c>
      <c r="F13" s="1054">
        <f>SUBTOTAL(9,F9:F12)</f>
        <v>56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1195</v>
      </c>
      <c r="D16" s="228">
        <f>IF(ISNUMBER(IF(D_I="SI",Datos!I16,Datos!I16+Datos!AC16)),IF(D_I="SI",Datos!I16,Datos!I16+Datos!AC16)," - ")</f>
        <v>1742</v>
      </c>
      <c r="E16" s="229">
        <f>IF(ISNUMBER(IF(D_I="SI",Datos!J16,Datos!J16+Datos!AD16)),IF(D_I="SI",Datos!J16,Datos!J16+Datos!AD16)," - ")</f>
        <v>5125</v>
      </c>
      <c r="F16" s="229">
        <f>IF(ISNUMBER(IF(D_I="SI",Datos!K16,Datos!K16+Datos!AE16)),IF(D_I="SI",Datos!K16,Datos!K16+Datos!AE16)," - ")</f>
        <v>4582</v>
      </c>
      <c r="G16" s="1037" t="str">
        <f>IF(Datos!E16&lt;&gt;"",Datos!E16,Datos!D16)</f>
        <v>04</v>
      </c>
      <c r="H16" s="230">
        <f>IF(ISNUMBER(IF(D_I="SI",Datos!L16,Datos!L16+Datos!AF16)),IF(D_I="SI",Datos!L16,Datos!L16+Datos!AF16)," - ")</f>
        <v>1738</v>
      </c>
      <c r="I16" s="1047" t="str">
        <f>IF(ISNUMBER(Datos!AS16/Datos!BM16),Datos!AS16/Datos!BM16," - ")</f>
        <v xml:space="preserve"> - </v>
      </c>
      <c r="J16" s="1048">
        <f>IF(ISNUMBER(Datos!BY16/Datos!CN16),Datos!BY16/Datos!CN16," - ")</f>
        <v>0</v>
      </c>
      <c r="K16" s="233">
        <f t="shared" si="3"/>
        <v>0.45439330543933054</v>
      </c>
      <c r="L16" s="1028">
        <f>IF(ISNUMBER(NºAsuntos!I16/NºAsuntos!G16),(NºAsuntos!I16/NºAsuntos!G16)*11," - ")</f>
        <v>4.1724137931034484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164</v>
      </c>
      <c r="D17" s="228">
        <f>IF(ISNUMBER(IF(D_I="SI",Datos!I17,Datos!I17+Datos!AC17)),IF(D_I="SI",Datos!I17,Datos!I17+Datos!AC17)," - ")</f>
        <v>167</v>
      </c>
      <c r="E17" s="229">
        <f>IF(ISNUMBER(IF(D_I="SI",Datos!J17,Datos!J17+Datos!AD17)),IF(D_I="SI",Datos!J17,Datos!J17+Datos!AD17)," - ")</f>
        <v>608</v>
      </c>
      <c r="F17" s="229">
        <f>IF(ISNUMBER(IF(D_I="SI",Datos!K17,Datos!K17+Datos!AE17)),IF(D_I="SI",Datos!K17,Datos!K17+Datos!AE17)," - ")</f>
        <v>591</v>
      </c>
      <c r="G17" s="1037" t="str">
        <f>IF(Datos!E17&lt;&gt;"",Datos!E17,Datos!D17)</f>
        <v>37</v>
      </c>
      <c r="H17" s="230">
        <f>IF(ISNUMBER(IF(D_I="SI",Datos!L17,Datos!L17+Datos!AF17)),IF(D_I="SI",Datos!L17,Datos!L17+Datos!AF17)," - ")</f>
        <v>181</v>
      </c>
      <c r="I17" s="1047" t="str">
        <f>IF(ISNUMBER(Datos!AS17/Datos!BM17),Datos!AS17/Datos!BM17," - ")</f>
        <v xml:space="preserve"> - </v>
      </c>
      <c r="J17" s="1048" t="str">
        <f>IF(ISNUMBER((Datos!BY17+Datos!BZ17)/Datos!CN17),(Datos!BY17+Datos!BZ17)/Datos!CN17," - ")</f>
        <v xml:space="preserve"> - </v>
      </c>
      <c r="K17" s="233">
        <f t="shared" si="3"/>
        <v>0.10365853658536585</v>
      </c>
      <c r="L17" s="1028">
        <f>IF(ISNUMBER(NºAsuntos!I17/NºAsuntos!G17),(NºAsuntos!I17/NºAsuntos!G17)*11," - ")</f>
        <v>3.3688663282571909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1359</v>
      </c>
      <c r="D18" s="1052">
        <f>SUBTOTAL(9,D15:D17)</f>
        <v>1909</v>
      </c>
      <c r="E18" s="1053">
        <f>SUBTOTAL(9,E15:E17)</f>
        <v>5733</v>
      </c>
      <c r="F18" s="1053">
        <f>SUBTOTAL(9,F15:F17)</f>
        <v>5173</v>
      </c>
      <c r="G18" s="1055" t="str">
        <f ca="1">INDIRECT(CONCATENATE("G",ROW()-1))</f>
        <v>37</v>
      </c>
      <c r="H18" s="1056">
        <f ca="1">SUMIF(G$14:G17,G18,H$14:H17)</f>
        <v>181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1390</v>
      </c>
      <c r="D19" s="1074">
        <f>SUBTOTAL(9,D9:D18)</f>
        <v>1940</v>
      </c>
      <c r="E19" s="1075">
        <f>SUBTOTAL(9,E9:E18)</f>
        <v>5826</v>
      </c>
      <c r="F19" s="1075">
        <f>SUBTOTAL(9,F9:F18)</f>
        <v>5229</v>
      </c>
      <c r="G19" s="1076"/>
      <c r="H19" s="1077">
        <f ca="1">SUMIF(B9:B18,"TOTAL",H9:H18)</f>
        <v>181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nbc7IYfpbqlCNY8rt4a64bGcEkBX+aaazayimUgL8LxonJrR5PPCzOVJSZVbOVcNaH2q2ndwRIPPmhnUz/qSg==" saltValue="Ptqgvdfu3riWvF1EGVIV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KMw2rWukK5MOx1eyYWELWiTETH97rC+N53soMTt4p8sT4ExfYudp+UTvsTKR1WZKw3VPyORRILDooTttpY6Uw==" saltValue="v97VtGS048KnAV5lO+m+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31</v>
      </c>
      <c r="J10" s="184">
        <v>93</v>
      </c>
      <c r="K10" s="184">
        <v>56</v>
      </c>
      <c r="L10" s="184">
        <v>68</v>
      </c>
      <c r="M10" s="184">
        <v>36</v>
      </c>
      <c r="N10" s="184">
        <v>11</v>
      </c>
      <c r="O10" s="184">
        <v>3</v>
      </c>
      <c r="P10" s="184">
        <v>2</v>
      </c>
      <c r="Q10" s="184">
        <v>2</v>
      </c>
      <c r="R10" s="184">
        <v>1</v>
      </c>
      <c r="S10" s="184">
        <v>31</v>
      </c>
      <c r="T10" s="184">
        <v>46</v>
      </c>
      <c r="U10" s="184">
        <v>46</v>
      </c>
      <c r="V10" s="184">
        <v>31</v>
      </c>
      <c r="W10" s="184">
        <v>27</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31</v>
      </c>
      <c r="AZ10" s="129">
        <f t="shared" si="0"/>
        <v>46</v>
      </c>
      <c r="BA10" s="129">
        <f t="shared" si="0"/>
        <v>46</v>
      </c>
      <c r="BB10" s="129">
        <f t="shared" si="0"/>
        <v>31</v>
      </c>
      <c r="BC10" s="125">
        <f t="shared" si="0"/>
        <v>27</v>
      </c>
      <c r="BD10" s="126">
        <f>IF(ISNUMBER(BA10/AZ10),BA10/AZ10," - ")</f>
        <v>1</v>
      </c>
      <c r="BE10" s="127">
        <f>IF(ISNUMBER(BB10/BA10),BB10/BA10, " - ")</f>
        <v>0.67391304347826086</v>
      </c>
      <c r="BF10" s="127">
        <f>IF(ISNUMBER(BC10/BA10),BC10/BA10, " - ")</f>
        <v>0.58695652173913049</v>
      </c>
      <c r="BG10" s="199">
        <f>IF(ISNUMBER((AY10+AZ10)/BA10),(AY10+AZ10)/BA10," - ")</f>
        <v>1.673913043478261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3044</v>
      </c>
      <c r="J12" s="186">
        <v>4223</v>
      </c>
      <c r="K12" s="186">
        <v>4022</v>
      </c>
      <c r="L12" s="186">
        <v>2916</v>
      </c>
      <c r="M12" s="186">
        <v>665</v>
      </c>
      <c r="N12" s="186">
        <v>2190</v>
      </c>
      <c r="O12" s="184">
        <v>1615</v>
      </c>
      <c r="P12" s="186">
        <v>889</v>
      </c>
      <c r="Q12" s="186">
        <v>603</v>
      </c>
      <c r="R12" s="186">
        <v>4374</v>
      </c>
      <c r="S12" s="186">
        <v>2034</v>
      </c>
      <c r="T12" s="186">
        <v>4490</v>
      </c>
      <c r="U12" s="186">
        <v>4008</v>
      </c>
      <c r="V12" s="186">
        <v>3044</v>
      </c>
      <c r="W12" s="186">
        <v>707</v>
      </c>
      <c r="X12" s="192">
        <v>2518</v>
      </c>
      <c r="Y12" s="194">
        <v>210</v>
      </c>
      <c r="Z12" s="184">
        <v>341</v>
      </c>
      <c r="AA12" s="184">
        <v>337</v>
      </c>
      <c r="AB12" s="184">
        <v>214</v>
      </c>
      <c r="AC12" s="186">
        <v>0</v>
      </c>
      <c r="AD12" s="186">
        <v>0</v>
      </c>
      <c r="AE12" s="186">
        <v>0</v>
      </c>
      <c r="AF12" s="192">
        <v>0</v>
      </c>
      <c r="AG12" s="205">
        <v>169</v>
      </c>
      <c r="AH12" s="186">
        <v>473</v>
      </c>
      <c r="AI12" s="186">
        <v>433</v>
      </c>
      <c r="AJ12" s="206">
        <v>210</v>
      </c>
      <c r="AK12" s="185">
        <v>0</v>
      </c>
      <c r="AL12" s="186">
        <v>0</v>
      </c>
      <c r="AM12" s="186">
        <v>0</v>
      </c>
      <c r="AN12" s="192">
        <v>0</v>
      </c>
      <c r="AO12" s="262">
        <v>4</v>
      </c>
      <c r="AP12" s="158">
        <v>4</v>
      </c>
      <c r="AQ12" s="158">
        <v>4</v>
      </c>
      <c r="AR12" s="157">
        <v>4</v>
      </c>
      <c r="AS12" s="343" t="s">
        <v>803</v>
      </c>
      <c r="AT12" s="206"/>
      <c r="AU12" s="205"/>
      <c r="AV12" s="206"/>
      <c r="AW12" s="205"/>
      <c r="AX12" s="206"/>
      <c r="AY12" s="126">
        <f t="shared" si="1"/>
        <v>2203</v>
      </c>
      <c r="AZ12" s="127">
        <f t="shared" si="1"/>
        <v>4963</v>
      </c>
      <c r="BA12" s="127">
        <f t="shared" si="1"/>
        <v>4441</v>
      </c>
      <c r="BB12" s="127">
        <f t="shared" si="1"/>
        <v>3254</v>
      </c>
      <c r="BC12" s="125">
        <f>IF(ISNUMBER(X12),X12," - ")</f>
        <v>2518</v>
      </c>
      <c r="BD12" s="126">
        <f t="shared" si="2"/>
        <v>0.89482168043522059</v>
      </c>
      <c r="BE12" s="127">
        <f t="shared" si="3"/>
        <v>0.73271785633866249</v>
      </c>
      <c r="BF12" s="127">
        <f t="shared" si="4"/>
        <v>0.56698941679801851</v>
      </c>
      <c r="BG12" s="199">
        <f t="shared" si="5"/>
        <v>1.6136005404188245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3075</v>
      </c>
      <c r="J13" s="187">
        <f t="shared" si="6"/>
        <v>4316</v>
      </c>
      <c r="K13" s="187">
        <f t="shared" si="6"/>
        <v>4078</v>
      </c>
      <c r="L13" s="187">
        <f t="shared" si="6"/>
        <v>2984</v>
      </c>
      <c r="M13" s="187">
        <f t="shared" si="6"/>
        <v>701</v>
      </c>
      <c r="N13" s="187">
        <f t="shared" si="6"/>
        <v>2201</v>
      </c>
      <c r="O13" s="187">
        <f t="shared" si="6"/>
        <v>1618</v>
      </c>
      <c r="P13" s="187">
        <f t="shared" si="6"/>
        <v>891</v>
      </c>
      <c r="Q13" s="187">
        <f t="shared" si="6"/>
        <v>605</v>
      </c>
      <c r="R13" s="187">
        <f t="shared" si="6"/>
        <v>4375</v>
      </c>
      <c r="S13" s="187">
        <f t="shared" si="6"/>
        <v>2065</v>
      </c>
      <c r="T13" s="187">
        <f t="shared" si="6"/>
        <v>4536</v>
      </c>
      <c r="U13" s="187">
        <f t="shared" si="6"/>
        <v>4054</v>
      </c>
      <c r="V13" s="187">
        <f t="shared" si="6"/>
        <v>3075</v>
      </c>
      <c r="W13" s="187">
        <f t="shared" si="6"/>
        <v>734</v>
      </c>
      <c r="X13" s="187">
        <f t="shared" si="6"/>
        <v>2535</v>
      </c>
      <c r="Y13" s="187">
        <f t="shared" si="6"/>
        <v>210</v>
      </c>
      <c r="Z13" s="187">
        <f t="shared" si="6"/>
        <v>341</v>
      </c>
      <c r="AA13" s="187">
        <f t="shared" si="6"/>
        <v>337</v>
      </c>
      <c r="AB13" s="187">
        <f t="shared" si="6"/>
        <v>214</v>
      </c>
      <c r="AC13" s="187">
        <f t="shared" si="6"/>
        <v>0</v>
      </c>
      <c r="AD13" s="187">
        <f t="shared" si="6"/>
        <v>0</v>
      </c>
      <c r="AE13" s="187">
        <f t="shared" si="6"/>
        <v>0</v>
      </c>
      <c r="AF13" s="187">
        <f>SUBTOTAL(9,AF9:AF12)</f>
        <v>0</v>
      </c>
      <c r="AG13" s="187">
        <f t="shared" ref="AG13:AT13" si="7">SUBTOTAL(9,AG8:AG12)</f>
        <v>169</v>
      </c>
      <c r="AH13" s="187">
        <f t="shared" si="7"/>
        <v>473</v>
      </c>
      <c r="AI13" s="187">
        <f t="shared" si="7"/>
        <v>433</v>
      </c>
      <c r="AJ13" s="187">
        <f t="shared" si="7"/>
        <v>210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2234</v>
      </c>
      <c r="AZ13" s="187">
        <f>SUBTOTAL(9,AZ8:AZ12)</f>
        <v>5009</v>
      </c>
      <c r="BA13" s="187">
        <f>SUBTOTAL(9,BA8:BA12)</f>
        <v>4487</v>
      </c>
      <c r="BB13" s="187">
        <f>SUBTOTAL(9,BB8:BB12)</f>
        <v>3285</v>
      </c>
      <c r="BC13" s="187">
        <f>SUBTOTAL(9,BC8:BC12)</f>
        <v>2545</v>
      </c>
      <c r="BD13" s="208">
        <f>IF(ISNUMBER(BA13/AZ13),BA13/AZ13," - ")</f>
        <v>0.89578758235176681</v>
      </c>
      <c r="BE13" s="209">
        <f>IF(ISNUMBER(BB13/BA13),BB13/BA13, " - ")</f>
        <v>0.73211499888566967</v>
      </c>
      <c r="BF13" s="209">
        <f>IF(ISNUMBER(BC13/BA13),BC13/BA13, " - ")</f>
        <v>0.56719411633608197</v>
      </c>
      <c r="BG13" s="210">
        <f>IF(ISNUMBER((AY13+AZ13)/BA13),(AY13+AZ13)/BA13," - ")</f>
        <v>1.6142188544684644</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1742</v>
      </c>
      <c r="J16" s="186">
        <v>5125</v>
      </c>
      <c r="K16" s="186">
        <v>4582</v>
      </c>
      <c r="L16" s="186">
        <v>1738</v>
      </c>
      <c r="M16" s="186">
        <v>580</v>
      </c>
      <c r="N16" s="186">
        <v>2904</v>
      </c>
      <c r="O16" s="184">
        <v>14</v>
      </c>
      <c r="P16" s="186">
        <v>141</v>
      </c>
      <c r="Q16" s="186">
        <v>166</v>
      </c>
      <c r="R16" s="186">
        <v>271</v>
      </c>
      <c r="S16" s="186">
        <v>1517</v>
      </c>
      <c r="T16" s="186">
        <v>5047</v>
      </c>
      <c r="U16" s="186">
        <v>4522</v>
      </c>
      <c r="V16" s="186">
        <v>1742</v>
      </c>
      <c r="W16" s="186">
        <v>714</v>
      </c>
      <c r="X16" s="192">
        <v>2865</v>
      </c>
      <c r="Y16" s="205">
        <v>0</v>
      </c>
      <c r="Z16" s="186">
        <v>0</v>
      </c>
      <c r="AA16" s="186">
        <v>0</v>
      </c>
      <c r="AB16" s="186">
        <v>0</v>
      </c>
      <c r="AC16" s="186">
        <v>0</v>
      </c>
      <c r="AD16" s="186">
        <v>0</v>
      </c>
      <c r="AE16" s="186">
        <v>0</v>
      </c>
      <c r="AF16" s="192">
        <v>0</v>
      </c>
      <c r="AG16" s="205">
        <v>0</v>
      </c>
      <c r="AH16" s="186">
        <v>0</v>
      </c>
      <c r="AI16" s="186">
        <v>0</v>
      </c>
      <c r="AJ16" s="206">
        <v>0</v>
      </c>
      <c r="AK16" s="185">
        <v>12</v>
      </c>
      <c r="AL16" s="186">
        <v>7</v>
      </c>
      <c r="AM16" s="186">
        <v>19</v>
      </c>
      <c r="AN16" s="192">
        <v>0</v>
      </c>
      <c r="AO16" s="262">
        <v>4</v>
      </c>
      <c r="AP16" s="158">
        <v>4</v>
      </c>
      <c r="AQ16" s="158">
        <v>4</v>
      </c>
      <c r="AR16" s="158">
        <v>4</v>
      </c>
      <c r="AS16" s="343" t="s">
        <v>487</v>
      </c>
      <c r="AT16" s="206"/>
      <c r="AU16" s="205"/>
      <c r="AV16" s="206"/>
      <c r="AW16" s="205"/>
      <c r="AX16" s="206"/>
      <c r="AY16" s="126">
        <f t="shared" si="9"/>
        <v>1517</v>
      </c>
      <c r="AZ16" s="127">
        <f t="shared" si="9"/>
        <v>5047</v>
      </c>
      <c r="BA16" s="127">
        <f t="shared" si="9"/>
        <v>4522</v>
      </c>
      <c r="BB16" s="127">
        <f t="shared" si="9"/>
        <v>1742</v>
      </c>
      <c r="BC16" s="125">
        <f>IF(ISNUMBER(W16),W16," - ")</f>
        <v>714</v>
      </c>
      <c r="BD16" s="126">
        <f t="shared" ref="BD16" si="11">IF(ISNUMBER(BA16/AZ16),BA16/AZ16," - ")</f>
        <v>0.89597780859916787</v>
      </c>
      <c r="BE16" s="127">
        <f t="shared" ref="BE16" si="12">IF(ISNUMBER(BB16/BA16),BB16/BA16, " - ")</f>
        <v>0.38522777532065455</v>
      </c>
      <c r="BF16" s="127">
        <f t="shared" ref="BF16" si="13">IF(ISNUMBER(BC16/BA16),BC16/BA16, " - ")</f>
        <v>0.15789473684210525</v>
      </c>
      <c r="BG16" s="199">
        <f t="shared" si="10"/>
        <v>1.4515701017249005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167</v>
      </c>
      <c r="J17" s="186">
        <v>608</v>
      </c>
      <c r="K17" s="186">
        <v>591</v>
      </c>
      <c r="L17" s="186">
        <v>181</v>
      </c>
      <c r="M17" s="186">
        <v>119</v>
      </c>
      <c r="N17" s="186">
        <v>271</v>
      </c>
      <c r="O17" s="186">
        <v>15</v>
      </c>
      <c r="P17" s="186">
        <v>20</v>
      </c>
      <c r="Q17" s="186">
        <v>19</v>
      </c>
      <c r="R17" s="186">
        <v>17</v>
      </c>
      <c r="S17" s="186">
        <v>110</v>
      </c>
      <c r="T17" s="186">
        <v>483</v>
      </c>
      <c r="U17" s="186">
        <v>426</v>
      </c>
      <c r="V17" s="186">
        <v>167</v>
      </c>
      <c r="W17" s="186">
        <v>77</v>
      </c>
      <c r="X17" s="192">
        <v>246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110</v>
      </c>
      <c r="AZ17" s="129">
        <f t="shared" si="14"/>
        <v>483</v>
      </c>
      <c r="BA17" s="129">
        <f t="shared" si="14"/>
        <v>426</v>
      </c>
      <c r="BB17" s="129">
        <f t="shared" si="14"/>
        <v>167</v>
      </c>
      <c r="BC17" s="125">
        <f>IF(ISNUMBER(W17),W17," - ")</f>
        <v>77</v>
      </c>
      <c r="BD17" s="126">
        <f>IF(ISNUMBER(BA17/AZ17),BA17/AZ17," - ")</f>
        <v>0.88198757763975155</v>
      </c>
      <c r="BE17" s="127">
        <f>IF(ISNUMBER(BB17/BA17),BB17/BA17, " - ")</f>
        <v>0.392018779342723</v>
      </c>
      <c r="BF17" s="127">
        <f>IF(ISNUMBER(BC17/BA17),BC17/BA17, " - ")</f>
        <v>0.18075117370892019</v>
      </c>
      <c r="BG17" s="199">
        <f>IF(ISNUMBER((AY17+AZ17)/BA17),(AY17+AZ17)/BA17," - ")</f>
        <v>1.392018779342723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1909</v>
      </c>
      <c r="J18" s="187">
        <f t="shared" si="15"/>
        <v>5733</v>
      </c>
      <c r="K18" s="187">
        <f t="shared" si="15"/>
        <v>5173</v>
      </c>
      <c r="L18" s="187">
        <f t="shared" si="15"/>
        <v>1919</v>
      </c>
      <c r="M18" s="187">
        <f t="shared" si="15"/>
        <v>699</v>
      </c>
      <c r="N18" s="187">
        <f t="shared" si="15"/>
        <v>3175</v>
      </c>
      <c r="O18" s="187">
        <f t="shared" si="15"/>
        <v>29</v>
      </c>
      <c r="P18" s="187">
        <f t="shared" si="15"/>
        <v>161</v>
      </c>
      <c r="Q18" s="187">
        <f t="shared" si="15"/>
        <v>185</v>
      </c>
      <c r="R18" s="187">
        <f t="shared" si="15"/>
        <v>288</v>
      </c>
      <c r="S18" s="187">
        <f t="shared" si="15"/>
        <v>1627</v>
      </c>
      <c r="T18" s="187">
        <f t="shared" si="15"/>
        <v>5530</v>
      </c>
      <c r="U18" s="187">
        <f t="shared" si="15"/>
        <v>4948</v>
      </c>
      <c r="V18" s="187">
        <f t="shared" si="15"/>
        <v>1909</v>
      </c>
      <c r="W18" s="187">
        <f t="shared" si="15"/>
        <v>791</v>
      </c>
      <c r="X18" s="187">
        <f t="shared" si="15"/>
        <v>3111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12</v>
      </c>
      <c r="AL18" s="187">
        <f t="shared" si="15"/>
        <v>7</v>
      </c>
      <c r="AM18" s="187">
        <f t="shared" si="15"/>
        <v>19</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1627</v>
      </c>
      <c r="AZ18" s="187">
        <f>SUBTOTAL(9,AZ14:AZ17)</f>
        <v>5530</v>
      </c>
      <c r="BA18" s="187">
        <f>SUBTOTAL(9,BA14:BA17)</f>
        <v>4948</v>
      </c>
      <c r="BB18" s="187">
        <f>SUBTOTAL(9,BB14:BB17)</f>
        <v>1909</v>
      </c>
      <c r="BC18" s="187">
        <f>SUBTOTAL(9,BC14:BC17)</f>
        <v>791</v>
      </c>
      <c r="BD18" s="208">
        <f>IF(ISNUMBER(BA18/AZ18),BA18/AZ18," - ")</f>
        <v>0.89475587703435799</v>
      </c>
      <c r="BE18" s="209">
        <f>IF(ISNUMBER(BB18/BA18),BB18/BA18, " - ")</f>
        <v>0.38581244947453519</v>
      </c>
      <c r="BF18" s="209">
        <f>IF(ISNUMBER(BC18/BA18),BC18/BA18, " - ")</f>
        <v>0.15986257073565077</v>
      </c>
      <c r="BG18" s="210">
        <f>IF(ISNUMBER((AY18+AZ18)/BA18),(AY18+AZ18)/BA18," - ")</f>
        <v>1.4464430072756669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4984</v>
      </c>
      <c r="J19" s="134">
        <f t="shared" si="18"/>
        <v>10049</v>
      </c>
      <c r="K19" s="134">
        <f t="shared" si="18"/>
        <v>9251</v>
      </c>
      <c r="L19" s="134">
        <f t="shared" si="18"/>
        <v>4903</v>
      </c>
      <c r="M19" s="134">
        <f t="shared" si="18"/>
        <v>1400</v>
      </c>
      <c r="N19" s="134">
        <f t="shared" si="18"/>
        <v>5376</v>
      </c>
      <c r="O19" s="134">
        <f t="shared" si="18"/>
        <v>1647</v>
      </c>
      <c r="P19" s="134">
        <f t="shared" si="18"/>
        <v>1052</v>
      </c>
      <c r="Q19" s="134">
        <f t="shared" si="18"/>
        <v>790</v>
      </c>
      <c r="R19" s="134">
        <f t="shared" si="18"/>
        <v>4663</v>
      </c>
      <c r="S19" s="134">
        <f t="shared" si="18"/>
        <v>3692</v>
      </c>
      <c r="T19" s="134">
        <f t="shared" si="18"/>
        <v>10066</v>
      </c>
      <c r="U19" s="134">
        <f t="shared" si="18"/>
        <v>9002</v>
      </c>
      <c r="V19" s="134">
        <f t="shared" si="18"/>
        <v>4984</v>
      </c>
      <c r="W19" s="134">
        <f t="shared" si="18"/>
        <v>1525</v>
      </c>
      <c r="X19" s="134">
        <f t="shared" si="18"/>
        <v>5646</v>
      </c>
      <c r="Y19" s="134">
        <f t="shared" si="18"/>
        <v>210</v>
      </c>
      <c r="Z19" s="134">
        <f t="shared" si="18"/>
        <v>341</v>
      </c>
      <c r="AA19" s="134">
        <f t="shared" si="18"/>
        <v>337</v>
      </c>
      <c r="AB19" s="134">
        <f t="shared" si="18"/>
        <v>214</v>
      </c>
      <c r="AC19" s="134">
        <f t="shared" si="18"/>
        <v>0</v>
      </c>
      <c r="AD19" s="134">
        <f t="shared" si="18"/>
        <v>0</v>
      </c>
      <c r="AE19" s="134">
        <f t="shared" si="18"/>
        <v>0</v>
      </c>
      <c r="AF19" s="134">
        <f t="shared" si="18"/>
        <v>0</v>
      </c>
      <c r="AG19" s="134">
        <f t="shared" si="18"/>
        <v>169</v>
      </c>
      <c r="AH19" s="134">
        <f t="shared" si="18"/>
        <v>473</v>
      </c>
      <c r="AI19" s="134">
        <f t="shared" si="18"/>
        <v>433</v>
      </c>
      <c r="AJ19" s="134">
        <f t="shared" si="18"/>
        <v>210</v>
      </c>
      <c r="AK19" s="134">
        <f t="shared" si="18"/>
        <v>12</v>
      </c>
      <c r="AL19" s="134">
        <f t="shared" si="18"/>
        <v>7</v>
      </c>
      <c r="AM19" s="134">
        <f t="shared" si="18"/>
        <v>19</v>
      </c>
      <c r="AN19" s="213">
        <f t="shared" si="18"/>
        <v>0</v>
      </c>
      <c r="AO19" s="214">
        <v>5</v>
      </c>
      <c r="AP19" s="214">
        <v>4</v>
      </c>
      <c r="AQ19" s="214">
        <v>4</v>
      </c>
      <c r="AR19" s="214">
        <v>4</v>
      </c>
      <c r="AS19" s="156">
        <f t="shared" si="18"/>
        <v>0</v>
      </c>
      <c r="AT19" s="156">
        <f t="shared" si="18"/>
        <v>0</v>
      </c>
      <c r="AU19" s="214"/>
      <c r="AV19" s="215"/>
      <c r="AW19" s="214"/>
      <c r="AX19" s="215"/>
      <c r="AY19" s="133">
        <f>SUBTOTAL(9,AY9:AY18)</f>
        <v>3861</v>
      </c>
      <c r="AZ19" s="134">
        <f>SUBTOTAL(9,AZ9:AZ18)</f>
        <v>10539</v>
      </c>
      <c r="BA19" s="134">
        <f>SUBTOTAL(9,BA9:BA18)</f>
        <v>9435</v>
      </c>
      <c r="BB19" s="134">
        <f>SUBTOTAL(9,BB9:BB18)</f>
        <v>5194</v>
      </c>
      <c r="BC19" s="135">
        <f>SUBTOTAL(9,BC9:BC18)</f>
        <v>3336</v>
      </c>
      <c r="BD19" s="216">
        <f>IF(ISNUMBER(BA19/AZ19),BA19/AZ19," - ")</f>
        <v>0.89524622829490463</v>
      </c>
      <c r="BE19" s="213">
        <f>IF(ISNUMBER(BB19/BA19),BB19/BA19, " - ")</f>
        <v>0.55050344462109169</v>
      </c>
      <c r="BF19" s="213">
        <f>IF(ISNUMBER(BC19/BA19),BC19/BA19, " - ")</f>
        <v>0.353577106518283</v>
      </c>
      <c r="BG19" s="135">
        <f>IF(ISNUMBER((AY19+AZ19)/BA19),(AY19+AZ19)/BA19," - ")</f>
        <v>1.5262321144674087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Zr1/P02fAKAiLxZd9SyuoZsAQg9I/89m7HdBq5Bfjo69WUKw+5p2PUwoLlfboX2SkTVyyXY3nBkx1brfGK+CA==" saltValue="GmEtcZcOa5jPY+9GucVQ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0pSZUBS05beE8Tw70blDilxRAxsHBp157Y21n22XXlo6AMiLzkAe9TE/3NHvqeFV/gbEy2bBZtnqe0L4CgSAQ==" saltValue="0rrjSrnyDNIQWpUEcPaD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REQUENA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56</v>
      </c>
      <c r="AC10" s="229">
        <f>IF(ISNUMBER(Datos!Q10),Datos!Q10," - ")</f>
        <v>2</v>
      </c>
      <c r="AD10" s="337"/>
      <c r="AE10" s="487"/>
      <c r="AF10" s="335">
        <f>IF(ISNUMBER(Datos!L10),Datos!L10,"-")</f>
        <v>68</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36</v>
      </c>
      <c r="BD10" s="232">
        <f>IF(ISNUMBER(Datos!N10),Datos!N10," - ")</f>
        <v>11</v>
      </c>
      <c r="BE10" s="232" t="str">
        <f>IF(ISNUMBER(Datos!BW10),Datos!BW10," - ")</f>
        <v xml:space="preserve"> - </v>
      </c>
      <c r="BF10" s="231" t="str">
        <f>IF(ISNUMBER(Datos!BX10),Datos!BX10," - ")</f>
        <v xml:space="preserve"> - </v>
      </c>
      <c r="BG10" s="246">
        <f>IF(ISNUMBER(Datos!K10/Datos!J10),Datos!K10/Datos!J10," - ")</f>
        <v>0.60215053763440862</v>
      </c>
      <c r="BH10" s="263">
        <f>IF(ISNUMBER(((Datos!L10/Datos!K10)*11)/factor_trimestre),((Datos!L10/Datos!K10)*11)/factor_trimestre," - ")</f>
        <v>13.357142857142856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341</v>
      </c>
      <c r="O12" s="337"/>
      <c r="P12" s="337"/>
      <c r="Q12" s="229">
        <f>IF(ISNUMBER(Datos!P12),Datos!P12,0)</f>
        <v>889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214</v>
      </c>
      <c r="AI12" s="337" t="str">
        <f>IF(ISNUMBER(Datos!CD12),Datos!CD12,"-")</f>
        <v>-</v>
      </c>
      <c r="AJ12" s="337" t="str">
        <f>IF(ISNUMBER(Datos!EN12),Datos!EN12," - ")</f>
        <v xml:space="preserve"> - </v>
      </c>
      <c r="AK12" s="337"/>
      <c r="AL12" s="482"/>
      <c r="AM12" s="338">
        <f>IF(ISNUMBER(Datos!R12),Datos!R12," - ")</f>
        <v>4374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665</v>
      </c>
      <c r="BD12" s="232">
        <f>IF(ISNUMBER(Datos!N12),Datos!N12," - ")</f>
        <v>2190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0.95508326029798418</v>
      </c>
      <c r="BH12" s="263">
        <f>IF(ISNUMBER(((IF(J_V="SI",Datos!L12/Datos!K12,(Datos!L12+Datos!AB12)/(Datos!K12+Datos!AA12)))*11)/factor_trimestre),((IF(J_V="SI",Datos!L12/Datos!K12,(Datos!L12+Datos!AB12)/(Datos!K12+Datos!AA12)))*11)/factor_trimestre," - ")</f>
        <v>7.8986005964670802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6.9960861056751464E-2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341</v>
      </c>
      <c r="O13" s="903">
        <f t="shared" si="0"/>
        <v>0</v>
      </c>
      <c r="P13" s="903">
        <f t="shared" si="0"/>
        <v>0</v>
      </c>
      <c r="Q13" s="902">
        <f t="shared" si="0"/>
        <v>891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56</v>
      </c>
      <c r="AC13" s="902">
        <f t="shared" si="1"/>
        <v>605</v>
      </c>
      <c r="AD13" s="902">
        <f t="shared" si="1"/>
        <v>0</v>
      </c>
      <c r="AE13" s="902">
        <f t="shared" si="1"/>
        <v>0</v>
      </c>
      <c r="AF13" s="902">
        <f t="shared" si="1"/>
        <v>68</v>
      </c>
      <c r="AG13" s="902">
        <f t="shared" si="1"/>
        <v>0</v>
      </c>
      <c r="AH13" s="902">
        <f t="shared" si="1"/>
        <v>214</v>
      </c>
      <c r="AI13" s="902">
        <f t="shared" si="1"/>
        <v>0</v>
      </c>
      <c r="AJ13" s="902">
        <f t="shared" si="1"/>
        <v>0</v>
      </c>
      <c r="AK13" s="902">
        <f t="shared" si="1"/>
        <v>0</v>
      </c>
      <c r="AL13" s="902">
        <f t="shared" si="1"/>
        <v>0</v>
      </c>
      <c r="AM13" s="902">
        <f t="shared" si="1"/>
        <v>4375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701</v>
      </c>
      <c r="BD13" s="902">
        <f t="shared" si="1"/>
        <v>2201</v>
      </c>
      <c r="BE13" s="902">
        <f t="shared" si="1"/>
        <v>0</v>
      </c>
      <c r="BF13" s="902">
        <f t="shared" si="1"/>
        <v>0</v>
      </c>
      <c r="BG13" s="902">
        <f>IF(ISNUMBER(Datos!K13/Datos!J13),Datos!K13/Datos!J13," - ")</f>
        <v>0.94485634847080635</v>
      </c>
      <c r="BH13" s="906">
        <f>IF(ISNUMBER(((Datos!L13/Datos!K13)*11)/factor_trimestre),((Datos!L13/Datos!K13)*11)/factor_trimestre," - ")</f>
        <v>8.0490436488474746</v>
      </c>
      <c r="BI13" s="902">
        <f>IF(ISNUMBER('Resol  Asuntos'!D13/NºAsuntos!G13),'Resol  Asuntos'!D13/NºAsuntos!G13," - ")</f>
        <v>0.15877689694224237</v>
      </c>
      <c r="BJ13" s="902" t="str">
        <f>IF(ISNUMBER(Datos!CI13/Datos!CJ13),Datos!CI13/Datos!CJ13," - ")</f>
        <v xml:space="preserve"> - </v>
      </c>
      <c r="BK13" s="902">
        <f>SUBTOTAL(9,BK8:BK12)</f>
        <v>0</v>
      </c>
      <c r="BL13" s="902">
        <f>IF(ISNUMBER((I13-AB13+L13)/(F13)),(I13-AB13+L13)/(F13)," - ")</f>
        <v>-1.8064516129032258</v>
      </c>
      <c r="BM13" s="907">
        <f>SUBTOTAL(9,BM9:BM12)</f>
        <v>6.9960861056751464E-2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1195</v>
      </c>
      <c r="G16" s="601">
        <f>IF(ISNUMBER(IF(D_I="SI",Datos!I16,Datos!I16+Datos!AC16)),IF(D_I="SI",Datos!I16,Datos!I16+Datos!AC16)," - ")</f>
        <v>1742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4582</v>
      </c>
      <c r="AC16" s="229">
        <f>IF(ISNUMBER(Datos!Q16),Datos!Q16," - ")</f>
        <v>166</v>
      </c>
      <c r="AD16" s="337"/>
      <c r="AE16" s="487"/>
      <c r="AF16" s="599">
        <f>IF(ISNUMBER(IF(D_I="SI",Datos!L16,Datos!L16+Datos!AF16)),IF(D_I="SI",Datos!L16,Datos!L16+Datos!AF16)," - ")</f>
        <v>1738</v>
      </c>
      <c r="AG16" s="337"/>
      <c r="AH16" s="337"/>
      <c r="AI16" s="337"/>
      <c r="AJ16" s="337"/>
      <c r="AK16" s="337"/>
      <c r="AL16" s="482"/>
      <c r="AM16" s="338">
        <f>IF(ISNUMBER(Datos!R16),Datos!R16," - ")</f>
        <v>271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580</v>
      </c>
      <c r="BD16" s="232">
        <f>IF(ISNUMBER(Datos!N16),Datos!N16," - ")</f>
        <v>2904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0.89404878048780489</v>
      </c>
      <c r="BH16" s="263">
        <f>IF(ISNUMBER(((IF(D_I="SI",Datos!L16/Datos!K16,(Datos!L16+Datos!AF16)/(Datos!K16+Datos!AE16)))*11)/factor_trimestre),((IF(D_I="SI",Datos!L16/Datos!K16,(Datos!L16+Datos!AF16)/(Datos!K16+Datos!AE16)))*11)/factor_trimestre," - ")</f>
        <v>4.1724137931034484</v>
      </c>
      <c r="BI16" s="246">
        <f>IF(ISNUMBER('Resol  Asuntos'!D16/NºAsuntos!G16),'Resol  Asuntos'!D16/NºAsuntos!G16," - ")</f>
        <v>0.12658227848101267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591</v>
      </c>
      <c r="AC17" s="229">
        <f>IF(ISNUMBER(Datos!Q17),Datos!Q17," - ")</f>
        <v>19</v>
      </c>
      <c r="AD17" s="337"/>
      <c r="AE17" s="487"/>
      <c r="AF17" s="335">
        <f>IF(ISNUMBER(Datos!L17),Datos!L17,"-")</f>
        <v>181</v>
      </c>
      <c r="AG17" s="337"/>
      <c r="AH17" s="337"/>
      <c r="AI17" s="337"/>
      <c r="AJ17" s="337"/>
      <c r="AK17" s="337"/>
      <c r="AL17" s="482"/>
      <c r="AM17" s="338">
        <f>IF(ISNUMBER(Datos!R17),Datos!R17," - ")</f>
        <v>17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119</v>
      </c>
      <c r="BD17" s="232">
        <f>IF(ISNUMBER(Datos!N17),Datos!N17," - ")</f>
        <v>271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0.97203947368421051</v>
      </c>
      <c r="BH17" s="263">
        <f>IF(ISNUMBER(((IF(D_I="SI",Datos!L17/Datos!K17,(Datos!L17+Datos!AF17)/(Datos!K17+Datos!AE17)))*11)/factor_trimestre),((IF(D_I="SI",Datos!L17/Datos!K17,(Datos!L17+Datos!AF17)/(Datos!K17+Datos!AE17)))*11)/factor_trimestre," - ")</f>
        <v>3.3688663282571909</v>
      </c>
      <c r="BI17" s="246">
        <f>IF(ISNUMBER('Resol  Asuntos'!D17/NºAsuntos!G17),'Resol  Asuntos'!D17/NºAsuntos!G17," - ")</f>
        <v>0.20135363790186125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1195</v>
      </c>
      <c r="G18" s="901">
        <f>SUBTOTAL(9,G15:G17)</f>
        <v>1909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5173</v>
      </c>
      <c r="AC18" s="902">
        <f t="shared" si="4"/>
        <v>185</v>
      </c>
      <c r="AD18" s="902">
        <f t="shared" si="4"/>
        <v>0</v>
      </c>
      <c r="AE18" s="902">
        <f t="shared" si="4"/>
        <v>0</v>
      </c>
      <c r="AF18" s="902">
        <f t="shared" si="4"/>
        <v>1919</v>
      </c>
      <c r="AG18" s="902">
        <f t="shared" si="4"/>
        <v>0</v>
      </c>
      <c r="AH18" s="902">
        <f t="shared" si="4"/>
        <v>0</v>
      </c>
      <c r="AI18" s="902">
        <f t="shared" si="4"/>
        <v>0</v>
      </c>
      <c r="AJ18" s="902">
        <f t="shared" si="4"/>
        <v>0</v>
      </c>
      <c r="AK18" s="902">
        <f t="shared" si="4"/>
        <v>0</v>
      </c>
      <c r="AL18" s="902">
        <f t="shared" si="4"/>
        <v>0</v>
      </c>
      <c r="AM18" s="902">
        <f t="shared" si="4"/>
        <v>288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699</v>
      </c>
      <c r="BD18" s="902">
        <f t="shared" si="4"/>
        <v>3175</v>
      </c>
      <c r="BE18" s="902">
        <f t="shared" si="4"/>
        <v>0</v>
      </c>
      <c r="BF18" s="902">
        <f t="shared" si="4"/>
        <v>0</v>
      </c>
      <c r="BG18" s="902">
        <f>IF(ISNUMBER(Datos!K18/Datos!J18),Datos!K18/Datos!J18," - ")</f>
        <v>0.90231990231990233</v>
      </c>
      <c r="BH18" s="906">
        <f>IF(ISNUMBER(((Datos!L18/Datos!K18)*11)/factor_trimestre),((Datos!L18/Datos!K18)*11)/factor_trimestre," - ")</f>
        <v>4.0806108641020682</v>
      </c>
      <c r="BI18" s="902">
        <f>SUBTOTAL(9,BI15:BI17)</f>
        <v>0.32793591638287389</v>
      </c>
      <c r="BJ18" s="902">
        <f>SUBTOTAL(9,BJ15:BJ17)</f>
        <v>0</v>
      </c>
      <c r="BK18" s="902">
        <f>SUBTOTAL(9,BK15:BK17)</f>
        <v>0</v>
      </c>
      <c r="BL18" s="902">
        <f>IF(ISNUMBER((I18-AB18+L18)/(F18)),(I18-AB18+L18)/(F18)," - ")</f>
        <v>-4.3288702928870295</v>
      </c>
      <c r="BM18" s="908">
        <f>IF(ISNUMBER((Datos!P18-Datos!Q18)/(Datos!R18-Datos!P18+Datos!Q18)),(Datos!P18-Datos!Q18)/(Datos!R18-Datos!P18+Datos!Q18)," - ")</f>
        <v>-7.6923076923076927E-2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1226</v>
      </c>
      <c r="G19" s="823">
        <f t="shared" si="6"/>
        <v>1940</v>
      </c>
      <c r="H19" s="825">
        <f t="shared" si="6"/>
        <v>0</v>
      </c>
      <c r="I19" s="823">
        <f t="shared" si="6"/>
        <v>0</v>
      </c>
      <c r="J19" s="825">
        <f t="shared" si="6"/>
        <v>0</v>
      </c>
      <c r="K19" s="825">
        <f t="shared" si="6"/>
        <v>0</v>
      </c>
      <c r="L19" s="884">
        <f t="shared" si="6"/>
        <v>0</v>
      </c>
      <c r="M19" s="884">
        <f t="shared" si="6"/>
        <v>0</v>
      </c>
      <c r="N19" s="884">
        <f t="shared" si="6"/>
        <v>341</v>
      </c>
      <c r="O19" s="884">
        <f t="shared" si="6"/>
        <v>0</v>
      </c>
      <c r="P19" s="884">
        <f t="shared" si="6"/>
        <v>0</v>
      </c>
      <c r="Q19" s="825">
        <f t="shared" si="6"/>
        <v>1052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5229</v>
      </c>
      <c r="AC19" s="824">
        <f t="shared" si="7"/>
        <v>790</v>
      </c>
      <c r="AD19" s="824">
        <f t="shared" si="7"/>
        <v>0</v>
      </c>
      <c r="AE19" s="824">
        <f t="shared" si="7"/>
        <v>0</v>
      </c>
      <c r="AF19" s="831">
        <f t="shared" si="7"/>
        <v>1987</v>
      </c>
      <c r="AG19" s="831">
        <f t="shared" si="7"/>
        <v>0</v>
      </c>
      <c r="AH19" s="831">
        <f t="shared" si="7"/>
        <v>214</v>
      </c>
      <c r="AI19" s="831">
        <f t="shared" si="7"/>
        <v>0</v>
      </c>
      <c r="AJ19" s="824">
        <f t="shared" si="7"/>
        <v>0</v>
      </c>
      <c r="AK19" s="831">
        <f t="shared" si="7"/>
        <v>0</v>
      </c>
      <c r="AL19" s="831">
        <f t="shared" si="7"/>
        <v>0</v>
      </c>
      <c r="AM19" s="831">
        <f t="shared" si="7"/>
        <v>4663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1400</v>
      </c>
      <c r="BD19" s="823">
        <f t="shared" si="7"/>
        <v>5376</v>
      </c>
      <c r="BE19" s="823">
        <f t="shared" si="7"/>
        <v>0</v>
      </c>
      <c r="BF19" s="833">
        <f t="shared" si="7"/>
        <v>0</v>
      </c>
      <c r="BG19" s="918">
        <f>IF(ISNUMBER(Datos!K19/Datos!J19),Datos!K19/Datos!J19," - ")</f>
        <v>0.92058911334461135</v>
      </c>
      <c r="BH19" s="918">
        <f>IF(ISNUMBER(((Datos!L19/Datos!K19)*11)/factor_trimestre),((Datos!L19/Datos!K19)*11)/factor_trimestre," - ")</f>
        <v>5.8299643281807372</v>
      </c>
      <c r="BI19" s="816">
        <f>IF(ISNUMBER(Datos!J19/Datos!I19),Datos!J19/Datos!I19," - ")</f>
        <v>2.0162520064205456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-4.2650897226753672</v>
      </c>
      <c r="BM19" s="892">
        <f>IF(ISNUMBER((Datos!P19-Datos!Q19+R19)/(Datos!R19-Datos!P19+Datos!Q19-R19)),(Datos!P19-Datos!Q19+R19)/(Datos!R19-Datos!P19+Datos!Q19-R19)," - ")</f>
        <v>5.9531924562599411E-2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672.03571333672437</v>
      </c>
      <c r="G21" s="555">
        <f>IF(ISNUMBER(STDEV(G8:G18)),STDEV(G8:G18),"-")</f>
        <v>961.48010899862095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2561.0668284915955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305.75066094232182</v>
      </c>
      <c r="BD21" s="554"/>
      <c r="BE21" s="554">
        <f>IF(ISNUMBER(STDEV(BE8:BE18)),STDEV(BE8:BE18),"-")</f>
        <v>0</v>
      </c>
      <c r="BF21" s="559">
        <f>IF(ISNUMBER(STDEV(BF8:BF18)),STDEV(BF8:BF18),"-")</f>
        <v>0</v>
      </c>
      <c r="BG21" s="778">
        <f>IF(ISNUMBER(STDEV(BG8:BG18)),STDEV(BG8:BG18),"-")</f>
        <v>0.13870539253995021</v>
      </c>
      <c r="BH21" s="779">
        <f>IF(ISNUMBER(STDEV(BH8:BH18)),STDEV(BH8:BH18),"-")</f>
        <v>3.7903151853221146</v>
      </c>
      <c r="BI21" s="252">
        <f>IF(ISNUMBER(STDEV(BI8:BI18)),STDEV(BI8:BI18),"-")</f>
        <v>8.8327592469795241E-2</v>
      </c>
      <c r="BJ21" s="233" t="str">
        <f>IF(ISNUMBER(BL21/BM21),BL21/BM21," - ")</f>
        <v xml:space="preserve"> - </v>
      </c>
      <c r="BK21" s="578"/>
      <c r="BL21" s="562">
        <f>IF(ISNUMBER(STDEV(BL8:BL18)),STDEV(BL8:BL18),"-")</f>
        <v>1.7836193536081668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6Fp94KbuESsOATT+6HfrHSPHYxhpEc+ttpywrUc9BSjHNyl9MbwdIbYaBeY+jSNv6xG3lbouqVh8RWGgD8Jmg==" saltValue="ljGoYql2Jvb4eCUN3d0C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REQUENA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56</v>
      </c>
      <c r="Z10" s="622">
        <f>IF(ISNUMBER(Datos!Q10),Datos!Q10," - ")</f>
        <v>2</v>
      </c>
      <c r="AA10" s="335">
        <f>IF(ISNUMBER(Datos!L10),Datos!L10,"-")</f>
        <v>68</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36</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13.357142857142856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603</v>
      </c>
      <c r="AA12" s="335" t="str">
        <f>IF(ISNUMBER(IF(J_V="SI",Datos!L12,Datos!L12+Datos!AB12)-IF(Monitorios="SI",Datos!CD12,0)),
                          IF(J_V="SI",Datos!L12,Datos!L12+Datos!AB12)-IF(Monitorios="SI",Datos!CD12,0),
                          " - ")</f>
        <v xml:space="preserve"> - </v>
      </c>
      <c r="AB12" s="337"/>
      <c r="AC12" s="337"/>
      <c r="AD12" s="487"/>
      <c r="AE12" s="487">
        <f>IF(ISNUMBER(Datos!R12),Datos!R12," - ")</f>
        <v>4374</v>
      </c>
      <c r="AF12" s="232" t="str">
        <f>IF(ISNUMBER(Datos!BV12),Datos!BV12," - ")</f>
        <v xml:space="preserve"> - </v>
      </c>
      <c r="AG12" s="228" t="str">
        <f>IF(ISNUMBER(Datos!DV12),Datos!DV12," - ")</f>
        <v xml:space="preserve"> - </v>
      </c>
      <c r="AH12" s="301"/>
      <c r="AI12" s="230"/>
      <c r="AJ12" s="228">
        <f>IF(ISNUMBER(Datos!M12),Datos!M12," - ")</f>
        <v>665</v>
      </c>
      <c r="AK12" s="232">
        <f>IF(ISNUMBER(Datos!N12),Datos!N12," - ")</f>
        <v>2190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7.8986005964670802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6.9960861056751464E-2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891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56</v>
      </c>
      <c r="Z13" s="910">
        <f t="shared" si="2"/>
        <v>605</v>
      </c>
      <c r="AA13" s="903">
        <f t="shared" si="2"/>
        <v>68</v>
      </c>
      <c r="AB13" s="903">
        <f t="shared" si="2"/>
        <v>0</v>
      </c>
      <c r="AC13" s="903">
        <f t="shared" si="2"/>
        <v>0</v>
      </c>
      <c r="AD13" s="903">
        <f t="shared" si="2"/>
        <v>0</v>
      </c>
      <c r="AE13" s="903">
        <f t="shared" si="2"/>
        <v>4375</v>
      </c>
      <c r="AF13" s="911">
        <f t="shared" si="2"/>
        <v>0</v>
      </c>
      <c r="AG13" s="911">
        <f t="shared" si="2"/>
        <v>0</v>
      </c>
      <c r="AH13" s="911">
        <f t="shared" si="2"/>
        <v>0</v>
      </c>
      <c r="AI13" s="911">
        <f t="shared" si="2"/>
        <v>0</v>
      </c>
      <c r="AJ13" s="911">
        <f t="shared" si="2"/>
        <v>701</v>
      </c>
      <c r="AK13" s="911">
        <f t="shared" si="2"/>
        <v>2201</v>
      </c>
      <c r="AL13" s="911">
        <f t="shared" si="2"/>
        <v>0</v>
      </c>
      <c r="AM13" s="911">
        <f t="shared" si="2"/>
        <v>0</v>
      </c>
      <c r="AN13" s="911">
        <f t="shared" si="2"/>
        <v>0</v>
      </c>
      <c r="AO13" s="907">
        <f>IF(ISNUMBER(((NºAsuntos!I13/NºAsuntos!G13)*11)/factor_trimestre),((NºAsuntos!I13/NºAsuntos!G13)*11)/factor_trimestre," - ")</f>
        <v>7.9678369195922993</v>
      </c>
      <c r="AP13" s="913" t="str">
        <f>IF(ISNUMBER(Datos!CI13/Datos!CJ13),Datos!CI13/Datos!CJ13," - ")</f>
        <v xml:space="preserve"> - </v>
      </c>
      <c r="AQ13" s="931">
        <f t="shared" ref="AQ13:AV13" si="3">SUBTOTAL(9,AQ9:AQ12)</f>
        <v>0</v>
      </c>
      <c r="AR13" s="931">
        <f t="shared" si="3"/>
        <v>6.9960861056751464E-2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1195</v>
      </c>
      <c r="G16" s="228">
        <f>IF(ISNUMBER(IF(D_I="SI",Datos!I16,Datos!I16+Datos!AC16)),IF(D_I="SI",Datos!I16,Datos!I16+Datos!AC16)," - ")</f>
        <v>1742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4582</v>
      </c>
      <c r="Z16" s="622">
        <f>IF(ISNUMBER(Datos!Q16),Datos!Q16," - ")</f>
        <v>166</v>
      </c>
      <c r="AA16" s="335">
        <f>IF(ISNUMBER(IF(D_I="SI",Datos!L16,Datos!L16+Datos!AF16)),IF(D_I="SI",Datos!L16,Datos!L16+Datos!AF16)," - ")</f>
        <v>1738</v>
      </c>
      <c r="AB16" s="337"/>
      <c r="AC16" s="337"/>
      <c r="AD16" s="487"/>
      <c r="AE16" s="487">
        <f>IF(ISNUMBER(Datos!R16),Datos!R16," - ")</f>
        <v>271</v>
      </c>
      <c r="AF16" s="232" t="str">
        <f>IF(ISNUMBER(Datos!BV16),Datos!BV16," - ")</f>
        <v xml:space="preserve"> - </v>
      </c>
      <c r="AG16" s="228"/>
      <c r="AH16" s="301"/>
      <c r="AI16" s="230"/>
      <c r="AJ16" s="228">
        <f>IF(ISNUMBER(Datos!M16),Datos!M16," - ")</f>
        <v>580</v>
      </c>
      <c r="AK16" s="232">
        <f>IF(ISNUMBER(Datos!N16),Datos!N16," - ")</f>
        <v>2904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4.1724137931034484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591</v>
      </c>
      <c r="Z17" s="622">
        <f>IF(ISNUMBER(Datos!Q17),Datos!Q17," - ")</f>
        <v>19</v>
      </c>
      <c r="AA17" s="335">
        <f>IF(ISNUMBER(Datos!L17),Datos!L17,"-")</f>
        <v>181</v>
      </c>
      <c r="AB17" s="337"/>
      <c r="AC17" s="337"/>
      <c r="AD17" s="487"/>
      <c r="AE17" s="487">
        <f>IF(ISNUMBER(Datos!R17),Datos!R17," - ")</f>
        <v>17</v>
      </c>
      <c r="AF17" s="232" t="str">
        <f>IF(ISNUMBER(Datos!BV17),Datos!BV17," - ")</f>
        <v xml:space="preserve"> - </v>
      </c>
      <c r="AG17" s="228" t="str">
        <f>IF(ISNUMBER(Datos!DV17),Datos!DV17," - ")</f>
        <v xml:space="preserve"> - </v>
      </c>
      <c r="AH17" s="301"/>
      <c r="AI17" s="230"/>
      <c r="AJ17" s="228">
        <f>IF(ISNUMBER(Datos!M17),Datos!M17," - ")</f>
        <v>119</v>
      </c>
      <c r="AK17" s="232">
        <f>IF(ISNUMBER(Datos!N17),Datos!N17," - ")</f>
        <v>271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3.3688663282571909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1195</v>
      </c>
      <c r="G18" s="901">
        <f>SUBTOTAL(9,G15:G17)</f>
        <v>1909</v>
      </c>
      <c r="H18" s="935">
        <f>SUBTOTAL(9,H15:H17)</f>
        <v>0</v>
      </c>
      <c r="I18" s="914">
        <f>SUBTOTAL(9,I15:I17)</f>
        <v>0</v>
      </c>
      <c r="J18" s="870">
        <f>SUBTOTAL(9,J14:J17)</f>
        <v>0</v>
      </c>
      <c r="K18" s="935">
        <f t="shared" ref="K18:S18" si="4">SUBTOTAL(9,K15:K17)</f>
        <v>0</v>
      </c>
      <c r="L18" s="935">
        <f t="shared" si="4"/>
        <v>0</v>
      </c>
      <c r="M18" s="935">
        <f t="shared" si="4"/>
        <v>0</v>
      </c>
      <c r="N18" s="935">
        <f t="shared" si="4"/>
        <v>161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5173</v>
      </c>
      <c r="Z18" s="935">
        <f t="shared" si="5"/>
        <v>185</v>
      </c>
      <c r="AA18" s="935">
        <f t="shared" si="5"/>
        <v>1919</v>
      </c>
      <c r="AB18" s="935">
        <f t="shared" si="5"/>
        <v>0</v>
      </c>
      <c r="AC18" s="935">
        <f t="shared" si="5"/>
        <v>0</v>
      </c>
      <c r="AD18" s="935">
        <f t="shared" si="5"/>
        <v>0</v>
      </c>
      <c r="AE18" s="935">
        <f t="shared" si="5"/>
        <v>288</v>
      </c>
      <c r="AF18" s="935">
        <f t="shared" si="5"/>
        <v>0</v>
      </c>
      <c r="AG18" s="935">
        <f t="shared" si="5"/>
        <v>0</v>
      </c>
      <c r="AH18" s="935">
        <f t="shared" si="5"/>
        <v>0</v>
      </c>
      <c r="AI18" s="935">
        <f t="shared" si="5"/>
        <v>0</v>
      </c>
      <c r="AJ18" s="935">
        <f t="shared" si="5"/>
        <v>699</v>
      </c>
      <c r="AK18" s="935">
        <f t="shared" si="5"/>
        <v>3175</v>
      </c>
      <c r="AL18" s="935">
        <f t="shared" si="5"/>
        <v>0</v>
      </c>
      <c r="AM18" s="935">
        <f t="shared" si="5"/>
        <v>0</v>
      </c>
      <c r="AN18" s="935">
        <f t="shared" si="5"/>
        <v>0</v>
      </c>
      <c r="AO18" s="937">
        <f>IF(ISNUMBER(((NºAsuntos!I18/NºAsuntos!G18)*11)/factor_trimestre),((NºAsuntos!I18/NºAsuntos!G18)*11)/factor_trimestre," - ")</f>
        <v>4.0806108641020682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1226</v>
      </c>
      <c r="G19" s="823">
        <f t="shared" si="7"/>
        <v>1940</v>
      </c>
      <c r="H19" s="824">
        <f t="shared" si="7"/>
        <v>0</v>
      </c>
      <c r="I19" s="823">
        <f t="shared" si="7"/>
        <v>0</v>
      </c>
      <c r="J19" s="825">
        <f t="shared" si="7"/>
        <v>0</v>
      </c>
      <c r="K19" s="823">
        <f t="shared" si="7"/>
        <v>0</v>
      </c>
      <c r="L19" s="826">
        <f t="shared" si="7"/>
        <v>0</v>
      </c>
      <c r="M19" s="823">
        <f t="shared" si="7"/>
        <v>0</v>
      </c>
      <c r="N19" s="824">
        <f t="shared" si="7"/>
        <v>1052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5229</v>
      </c>
      <c r="Z19" s="830">
        <f t="shared" si="8"/>
        <v>790</v>
      </c>
      <c r="AA19" s="831">
        <f t="shared" si="8"/>
        <v>1987</v>
      </c>
      <c r="AB19" s="831">
        <f t="shared" si="8"/>
        <v>0</v>
      </c>
      <c r="AC19" s="831">
        <f t="shared" si="8"/>
        <v>0</v>
      </c>
      <c r="AD19" s="832">
        <f t="shared" si="8"/>
        <v>0</v>
      </c>
      <c r="AE19" s="832">
        <f t="shared" si="8"/>
        <v>4663</v>
      </c>
      <c r="AF19" s="833">
        <f t="shared" si="8"/>
        <v>0</v>
      </c>
      <c r="AG19" s="834">
        <f t="shared" si="8"/>
        <v>0</v>
      </c>
      <c r="AH19" s="835">
        <f t="shared" si="8"/>
        <v>0</v>
      </c>
      <c r="AI19" s="833">
        <f t="shared" si="8"/>
        <v>0</v>
      </c>
      <c r="AJ19" s="823">
        <f t="shared" si="8"/>
        <v>1400</v>
      </c>
      <c r="AK19" s="823">
        <f t="shared" si="8"/>
        <v>5376</v>
      </c>
      <c r="AL19" s="823">
        <f t="shared" si="8"/>
        <v>0</v>
      </c>
      <c r="AM19" s="836">
        <f t="shared" si="8"/>
        <v>0</v>
      </c>
      <c r="AN19" s="826">
        <f>IF(ISNUMBER(Datos!K19/Datos!J19),Datos!K19/Datos!J19," - ")</f>
        <v>0.92058911334461135</v>
      </c>
      <c r="AO19" s="826">
        <f>IF(ISNUMBER(FIND("06",Criterios!A8,1)),(IF(ISNUMBER(((Datos!R19/Datos!Q19)*11)/factor_trimestre),((Datos!R19/Datos!Q19)*11)/factor_trimestre," - ")),(IF(ISNUMBER(((Datos!L19/Datos!K19)*11)/factor_trimestre),((Datos!L19/Datos!K19)*11)/factor_trimestre," - ")))</f>
        <v>5.8299643281807372</v>
      </c>
      <c r="AP19" s="837" t="str">
        <f>IF(ISNUMBER(Datos!CI19/Datos!CJ19),Datos!CI19/Datos!CJ19," - ")</f>
        <v xml:space="preserve"> - </v>
      </c>
      <c r="AQ19" s="837">
        <f>IF(OR(ISNUMBER(FIND("01",Criterios!A8,1)),ISNUMBER(FIND("02",Criterios!A8,1)),ISNUMBER(FIND("03",Criterios!A8,1)),ISNUMBER(FIND("04",Criterios!A8,1))),(J19-Y19+K19)/(F19-K19),(I19-Y19+K19)/(F19-K19))</f>
        <v>-4.2650897226753672</v>
      </c>
      <c r="AR19" s="837">
        <f>IF(ISNUMBER((Datos!P19-Datos!Q19+O19)/(Datos!R19-Datos!P19+Datos!Q19-O19)),(Datos!P19-Datos!Q19+O19)/(Datos!R19-Datos!P19+Datos!Q19-O19)," - ")</f>
        <v>5.9531924562599411E-2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672.03571333672437</v>
      </c>
      <c r="G21" s="555">
        <f>IF(ISNUMBER(STDEV(G8:G18)),STDEV(G8:G18),"-")</f>
        <v>961.48010899862095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305.75066094232182</v>
      </c>
      <c r="AK21" s="255"/>
      <c r="AL21" s="255">
        <f>IF(ISNUMBER(STDEV(AL8:AL18)),STDEV(AL8:AL18),"-")</f>
        <v>0</v>
      </c>
      <c r="AM21" s="257">
        <f>IF(ISNUMBER(STDEV(AM8:AM18)),STDEV(AM8:AM18),"-")</f>
        <v>0</v>
      </c>
      <c r="AN21" s="542">
        <f>IF(ISNUMBER(STDEV(AN8:AN18)),STDEV(AN8:AN18),"-")</f>
        <v>0</v>
      </c>
      <c r="AO21" s="543">
        <f>IF(ISNUMBER(STDEV(AO8:AO18)),STDEV(AO8:AO18),"-")</f>
        <v>3.7851950809270152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fU8DvjYqsmbBAtNzO4J/KYKMIC2LQhN76YWdp4oxrnWPp9p/96YI1loUOw9EXmkZKM9dLER1vciArY5++dFqw==" saltValue="n07S9zWakVmFHp4xV+Lr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vj8ll5uSdWUfDRFzyi9xnbysoUuHEhZPxkMOUc5LMifLA89pzyaw1FyF1WVN6Aw7fwUuQTOiXlqlfloZ9wn0g==" saltValue="zPVoyRQPwhbBzZZD06Et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VUq04hID3VocrwcM08cyr0MFcO8/b3Kvs+Bs/CBwfhgQSN0NI3HwxguzgjW0CZnaXHrZsx/Gy5tP6Glkq9zEA==" saltValue="EmAoutZDWQV1DKsj2ppx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REQUENA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0.15877689694224237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0.11227222052361718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SbsCSetteQzKNmUz2r/OYwuUITiZk2Vr3GdjLNL4CAmKUC3cgJaIVjOnTKJ+8Rfp2q+icJMGwRFXMhOA6m7PQ==" saltValue="nNLVdAQMiQv17woAmmyj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hW8BRwQMPtyOIo+ju47n/0IR395Aw4cPNwaaQOAKZk6VcNQ9NcHElfqiQDD0T+8fxP5c9uOzWeSaN7HhTtSUw==" saltValue="zo7Qe1oGndHw595QUlMG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REQUENA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93</v>
      </c>
      <c r="F10" s="407">
        <f>IF(ISNUMBER(E10/B10),E10/B10," - ")</f>
        <v>93</v>
      </c>
      <c r="G10" s="406">
        <f>IF(ISNUMBER(Datos!K10),Datos!K10," - ")</f>
        <v>56</v>
      </c>
      <c r="H10" s="407">
        <f>IF(ISNUMBER(G10/B10),G10/B10," - ")</f>
        <v>56</v>
      </c>
      <c r="I10" s="406">
        <f>IF(ISNUMBER(Datos!L10),Datos!L10," - ")</f>
        <v>68</v>
      </c>
      <c r="J10" s="407">
        <f>IF(ISNUMBER(I10/B10),I10/B10," - ")</f>
        <v>68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3254</v>
      </c>
      <c r="D12" s="407">
        <f>IF(ISNUMBER(C12/Datos!BH12),C12/Datos!BH12," - ")</f>
        <v>813.5</v>
      </c>
      <c r="E12" s="406">
        <f>IF(ISNUMBER(IF(J_V="SI",Datos!J12,Datos!J12+Datos!Z12)),IF(J_V="SI",Datos!J12,Datos!J12+Datos!Z12)," - ")</f>
        <v>4564</v>
      </c>
      <c r="F12" s="407">
        <f>IF(ISNUMBER(E12/B12),E12/B12," - ")</f>
        <v>1141</v>
      </c>
      <c r="G12" s="406">
        <f>IF(ISNUMBER(IF(J_V="SI",Datos!K12,Datos!K12+Datos!AA12)),IF(J_V="SI",Datos!K12,Datos!K12+Datos!AA12)," - ")</f>
        <v>4359</v>
      </c>
      <c r="H12" s="407">
        <f>IF(ISNUMBER(G12/B12),G12/B12," - ")</f>
        <v>1089.75</v>
      </c>
      <c r="I12" s="406">
        <f>IF(ISNUMBER(IF(J_V="SI",Datos!L12,Datos!L12+Datos!AB12)),IF(J_V="SI",Datos!L12,Datos!L12+Datos!AB12)," - ")</f>
        <v>3130</v>
      </c>
      <c r="J12" s="407">
        <f>IF(ISNUMBER(I12/B12),I12/B12," - ")</f>
        <v>782.5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3285</v>
      </c>
      <c r="D13" s="853" t="str">
        <f>IF(ISNUMBER(C13/Datos!BI13),C13/Datos!BI13," - ")</f>
        <v xml:space="preserve"> - </v>
      </c>
      <c r="E13" s="852">
        <f>SUBTOTAL(9,E8:E12)</f>
        <v>4657</v>
      </c>
      <c r="F13" s="853">
        <f>IF(ISNUMBER(E13/B13),E13/B13," - ")</f>
        <v>1164.25</v>
      </c>
      <c r="G13" s="852">
        <f>SUBTOTAL(9,G8:G12)</f>
        <v>4415</v>
      </c>
      <c r="H13" s="853">
        <f>IF(ISNUMBER(G13/B13),G13/B13," - ")</f>
        <v>1103.75</v>
      </c>
      <c r="I13" s="852">
        <f>SUBTOTAL(9,I8:I12)</f>
        <v>3198</v>
      </c>
      <c r="J13" s="853">
        <f>IF(ISNUMBER(I13/B13),I13/B13," - ")</f>
        <v>799.5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1742</v>
      </c>
      <c r="D16" s="407">
        <f>IF(ISNUMBER(C16/Datos!BH16),C16/Datos!BH16," - ")</f>
        <v>435.5</v>
      </c>
      <c r="E16" s="406">
        <f>IF(ISNUMBER(IF(D_I="SI",Datos!J16,Datos!J16+Datos!AD16)),IF(D_I="SI",Datos!J16,Datos!J16+Datos!AD16)," - ")</f>
        <v>5125</v>
      </c>
      <c r="F16" s="407">
        <f>IF(ISNUMBER(E16/B16),E16/B16," - ")</f>
        <v>1281.25</v>
      </c>
      <c r="G16" s="406">
        <f>IF(ISNUMBER(IF(D_I="SI",Datos!K16,Datos!K16+Datos!AE16)),IF(D_I="SI",Datos!K16,Datos!K16+Datos!AE16)," - ")</f>
        <v>4582</v>
      </c>
      <c r="H16" s="407">
        <f>IF(ISNUMBER(G16/B16),G16/B16," - ")</f>
        <v>1145.5</v>
      </c>
      <c r="I16" s="406">
        <f>IF(ISNUMBER(IF(D_I="SI",Datos!L16,Datos!L16+Datos!AF16)),IF(D_I="SI",Datos!L16,Datos!L16+Datos!AF16)," - ")</f>
        <v>1738</v>
      </c>
      <c r="J16" s="407">
        <f>IF(ISNUMBER(I16/B16),I16/B16," - ")</f>
        <v>434.5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167</v>
      </c>
      <c r="D17" s="407">
        <f>IF(ISNUMBER(C17/Datos!BH17),C17/Datos!BH17," - ")</f>
        <v>167</v>
      </c>
      <c r="E17" s="406">
        <f>IF(ISNUMBER(IF(D_I="SI",Datos!J17,Datos!J17+Datos!AD17)),IF(D_I="SI",Datos!J17,Datos!J17+Datos!AD17)," - ")</f>
        <v>608</v>
      </c>
      <c r="F17" s="407">
        <f>IF(ISNUMBER(E17/B17),E17/B17," - ")</f>
        <v>608</v>
      </c>
      <c r="G17" s="406">
        <f>IF(ISNUMBER(IF(D_I="SI",Datos!K17,Datos!K17+Datos!AE17)),IF(D_I="SI",Datos!K17,Datos!K17+Datos!AE17)," - ")</f>
        <v>591</v>
      </c>
      <c r="H17" s="407">
        <f>IF(ISNUMBER(G17/B17),G17/B17," - ")</f>
        <v>591</v>
      </c>
      <c r="I17" s="406">
        <f>IF(ISNUMBER(IF(D_I="SI",Datos!L17,Datos!L17+Datos!AF17)),IF(D_I="SI",Datos!L17,Datos!L17+Datos!AF17)," - ")</f>
        <v>181</v>
      </c>
      <c r="J17" s="407">
        <f>IF(ISNUMBER(I17/B17),I17/B17," - ")</f>
        <v>181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1909</v>
      </c>
      <c r="D18" s="853" t="str">
        <f>IF(ISNUMBER(C18/Datos!BI18),C18/Datos!BI18," - ")</f>
        <v xml:space="preserve"> - </v>
      </c>
      <c r="E18" s="852">
        <f>SUBTOTAL(9,E14:E17)</f>
        <v>5733</v>
      </c>
      <c r="F18" s="853">
        <f>IF(ISNUMBER(E18/B18),E18/B18," - ")</f>
        <v>1433.25</v>
      </c>
      <c r="G18" s="852">
        <f>SUBTOTAL(9,G14:G17)</f>
        <v>5173</v>
      </c>
      <c r="H18" s="853">
        <f>IF(ISNUMBER(G18/B18),G18/B18," - ")</f>
        <v>1293.25</v>
      </c>
      <c r="I18" s="852">
        <f>SUBTOTAL(9,I14:I17)</f>
        <v>1919</v>
      </c>
      <c r="J18" s="853">
        <f>IF(ISNUMBER(I18/B18),I18/B18," - ")</f>
        <v>479.75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5194</v>
      </c>
      <c r="D19" s="798" t="str">
        <f>IF(ISNUMBER(C19/Datos!BI19),C19/Datos!BI19," - ")</f>
        <v xml:space="preserve"> - </v>
      </c>
      <c r="E19" s="797">
        <f>SUBTOTAL(9,E9:E18)</f>
        <v>10390</v>
      </c>
      <c r="F19" s="798">
        <f>IF(ISNUMBER(E19/B19),E19/B19," - ")</f>
        <v>2597.5</v>
      </c>
      <c r="G19" s="797">
        <f>SUBTOTAL(9,G9:G18)</f>
        <v>9588</v>
      </c>
      <c r="H19" s="798">
        <f>IF(ISNUMBER(G19/B19),G19/B19," - ")</f>
        <v>2397</v>
      </c>
      <c r="I19" s="797">
        <f>SUBTOTAL(9,I9:I18)</f>
        <v>5117</v>
      </c>
      <c r="J19" s="798">
        <f>IF(ISNUMBER(I19/B19),I19/B19," - ")</f>
        <v>1279.25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QBcP8z+ZBIvfYVTFK2YtYy3IMRB6sThWhP0pcZALbEImFxDLYi82y0wcZnASBbkBbdHgyqIeElDVaDDPIfcuQ==" saltValue="Tv2/Q9t6x5vFgg5fFgIn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REQUENA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56</v>
      </c>
      <c r="AC10" s="686" t="str">
        <f>IF(ISNUMBER(IF(D_I="SI",DatosP!K17,DatosP!K17+DatosP!AE17)),IF(D_I="SI",DatosP!K17,DatosP!K17+DatosP!AE17)," - ")</f>
        <v xml:space="preserve"> - </v>
      </c>
      <c r="AD10" s="688"/>
      <c r="AE10" s="688"/>
      <c r="AF10" s="691">
        <f>IF(ISNUMBER(Datos!L10),Datos!L10,"-")</f>
        <v>68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36</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13.357142857142856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665</v>
      </c>
      <c r="AM12" s="693">
        <f>IF(ISNUMBER(Datos!N12+DatosP!N16),Datos!N12+DatosP!N16," - ")</f>
        <v>2190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7.8986005964670802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6.9960861056751464E-2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891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56</v>
      </c>
      <c r="AC13" s="942">
        <f t="shared" si="1"/>
        <v>0</v>
      </c>
      <c r="AD13" s="942">
        <f t="shared" si="1"/>
        <v>603</v>
      </c>
      <c r="AE13" s="942">
        <f t="shared" si="1"/>
        <v>0</v>
      </c>
      <c r="AF13" s="942">
        <f t="shared" si="1"/>
        <v>68</v>
      </c>
      <c r="AG13" s="942">
        <f t="shared" si="1"/>
        <v>0</v>
      </c>
      <c r="AH13" s="942">
        <f t="shared" si="1"/>
        <v>4374</v>
      </c>
      <c r="AI13" s="942">
        <f t="shared" si="1"/>
        <v>0</v>
      </c>
      <c r="AJ13" s="942">
        <f t="shared" si="1"/>
        <v>0</v>
      </c>
      <c r="AK13" s="942">
        <f t="shared" si="1"/>
        <v>0</v>
      </c>
      <c r="AL13" s="942">
        <f t="shared" si="1"/>
        <v>701</v>
      </c>
      <c r="AM13" s="942">
        <f t="shared" si="1"/>
        <v>2201</v>
      </c>
      <c r="AN13" s="942">
        <f t="shared" si="1"/>
        <v>0</v>
      </c>
      <c r="AO13" s="942">
        <f t="shared" si="1"/>
        <v>0</v>
      </c>
      <c r="AP13" s="947">
        <f>IF(ISNUMBER(((Datos!L13/Datos!K13)*11)/factor_trimestre),((Datos!L13/Datos!K13)*11)/factor_trimestre," - ")</f>
        <v>8.0490436488474746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-1.8064516129032258</v>
      </c>
      <c r="AU13" s="942" t="str">
        <f>IF(ISNUMBER((DatosP!#REF!-DatosP!#REF!+DatosP!#REF!)/(DatosP!#REF!+DatosP!#REF!-DatosP!#REF!-DatosP!#REF!)),(DatosP!#REF!-DatosP!#REF!+DatosP!#REF!)/(DatosP!#REF!+DatosP!#REF!-DatosP!#REF!-DatosP!#REF!)," - ")</f>
        <v xml:space="preserve"> - </v>
      </c>
      <c r="AV13" s="948">
        <f>SUBTOTAL(9,AV9:AV12)</f>
        <v>6.9960861056751464E-2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4.0806108641020682</v>
      </c>
      <c r="AQ18" s="947">
        <f>IF(ISNUMBER(((Datos!M18/Datos!L18)*11)/factor_trimestre),((Datos!M18/Datos!L18)*11)/factor_trimestre," - ")</f>
        <v>4.0067743616466913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-7.6923076923076927E-2</v>
      </c>
      <c r="AW18" s="949">
        <f>IF(ISNUMBER((Datos!Q18-Datos!R18)/(Datos!S18-Datos!Q18+Datos!R18)),(Datos!Q18-Datos!R18)/(Datos!S18-Datos!Q18+Datos!R18)," - ")</f>
        <v>-5.9537572254335258E-2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891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56</v>
      </c>
      <c r="AC19" s="960">
        <f t="shared" si="5"/>
        <v>0</v>
      </c>
      <c r="AD19" s="960">
        <f t="shared" si="5"/>
        <v>603</v>
      </c>
      <c r="AE19" s="960">
        <f t="shared" si="5"/>
        <v>0</v>
      </c>
      <c r="AF19" s="961">
        <f t="shared" si="5"/>
        <v>68</v>
      </c>
      <c r="AG19" s="961">
        <f t="shared" si="5"/>
        <v>0</v>
      </c>
      <c r="AH19" s="961">
        <f t="shared" si="5"/>
        <v>4374</v>
      </c>
      <c r="AI19" s="961">
        <f t="shared" si="5"/>
        <v>0</v>
      </c>
      <c r="AJ19" s="962">
        <f t="shared" si="5"/>
        <v>0</v>
      </c>
      <c r="AK19" s="962">
        <f t="shared" si="5"/>
        <v>0</v>
      </c>
      <c r="AL19" s="954">
        <f t="shared" si="5"/>
        <v>701</v>
      </c>
      <c r="AM19" s="954">
        <f t="shared" si="5"/>
        <v>2201</v>
      </c>
      <c r="AN19" s="954">
        <f t="shared" si="5"/>
        <v>0</v>
      </c>
      <c r="AO19" s="954">
        <f t="shared" si="5"/>
        <v>0</v>
      </c>
      <c r="AP19" s="954">
        <f>IF(ISNUMBER(((Datos!L19/Datos!K19)*11)/factor_trimestre),((Datos!L19/Datos!K19)*11)/factor_trimestre," - ")</f>
        <v>5.8299643281807372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-1.8064516129032258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5.9531924562599411E-2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32.331615074619044</v>
      </c>
      <c r="AC21" s="741">
        <f>IF(ISNUMBER(STDEV(AC8:AC18)),STDEV(AC8:AC18),"-")</f>
        <v>0</v>
      </c>
      <c r="AD21" s="744"/>
      <c r="AE21" s="744"/>
      <c r="AF21" s="744"/>
      <c r="AG21" s="744"/>
      <c r="AH21" s="744"/>
      <c r="AI21" s="744"/>
      <c r="AJ21" s="745">
        <f>IF(ISNUMBER(STDEV(AJ8:AJ18)),STDEV(AJ8:AJ18),"-")</f>
        <v>0</v>
      </c>
      <c r="AK21" s="747"/>
      <c r="AL21" s="739">
        <f>IF(ISNUMBER(STDEV(AL8:AL18)),STDEV(AL8:AL18),"-")</f>
        <v>384.50010836582783</v>
      </c>
      <c r="AM21" s="739"/>
      <c r="AN21" s="739">
        <f>IF(ISNUMBER(STDEV(AN8:AN18)),STDEV(AN8:AN18),"-")</f>
        <v>0</v>
      </c>
      <c r="AO21" s="745">
        <f>IF(ISNUMBER(STDEV(AO8:AO18)),STDEV(AO8:AO18),"-")</f>
        <v>0</v>
      </c>
      <c r="AP21" s="782">
        <f>IF(ISNUMBER(STDEV(AP8:AP18)),STDEV(AP8:AP18),"-")</f>
        <v>3.8119743802708386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kgYhNG5e+8CKAHb3u0AO5+NZMpQO8gir0m9OyKpdXeVXeggXVOYbPSD05okd0RqxgRr4B+XdT4NOwgWoRYPuA==" saltValue="yTIDPKGZXcAcHgoIaJMN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REQUENA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i4T+07uVpGoISYZryK3oxSj/iBndgn/0Po4yhxSHrbLuybr6r8ksIAGqtS7FnX8c5bfmHFwOiGCXR2GG3/KXg==" saltValue="b/PcxMOjTu3wiQpfX8zM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REQUENA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36</v>
      </c>
      <c r="E10" s="407">
        <f>IF(ISNUMBER(D10/B10),D10/B10," - ")</f>
        <v>36</v>
      </c>
      <c r="F10" s="406">
        <f>IF(ISNUMBER(Datos!N10),Datos!N10," - ")</f>
        <v>11</v>
      </c>
      <c r="G10" s="407">
        <f>IF(ISNUMBER(F10/B10),F10/B10," - ")</f>
        <v>11</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665</v>
      </c>
      <c r="E12" s="407">
        <f t="shared" si="0"/>
        <v>166.25</v>
      </c>
      <c r="F12" s="406">
        <f>IF(ISNUMBER(Datos!N12),Datos!N12," - ")</f>
        <v>2190</v>
      </c>
      <c r="G12" s="407">
        <f t="shared" si="1"/>
        <v>547.5</v>
      </c>
      <c r="H12" s="406">
        <f>IF(ISNUMBER(Datos!O12),Datos!O12," - ")</f>
        <v>1615</v>
      </c>
      <c r="I12" s="407">
        <f t="shared" si="2"/>
        <v>403.75</v>
      </c>
    </row>
    <row r="13" spans="1:9" ht="14.25" thickTop="1" thickBot="1">
      <c r="A13" s="851" t="str">
        <f>Datos!A13</f>
        <v>TOTAL</v>
      </c>
      <c r="B13" s="852">
        <f>Datos!AO13</f>
        <v>5</v>
      </c>
      <c r="C13" s="854">
        <f>Datos!AR13</f>
        <v>4</v>
      </c>
      <c r="D13" s="852">
        <f>SUBTOTAL(9,D9:D12)</f>
        <v>701</v>
      </c>
      <c r="E13" s="853">
        <f t="shared" si="0"/>
        <v>140.19999999999999</v>
      </c>
      <c r="F13" s="852">
        <f>SUBTOTAL(9,F9:F12)</f>
        <v>2201</v>
      </c>
      <c r="G13" s="853">
        <f t="shared" si="1"/>
        <v>440.2</v>
      </c>
      <c r="H13" s="852">
        <f>SUBTOTAL(9,H9:H12)</f>
        <v>1618</v>
      </c>
      <c r="I13" s="853">
        <f>IF(ISNUMBER(H13/B13),H13/B13," - ")</f>
        <v>323.60000000000002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580</v>
      </c>
      <c r="E16" s="407">
        <f t="shared" si="3"/>
        <v>145</v>
      </c>
      <c r="F16" s="406">
        <f>IF(ISNUMBER(Datos!N16),Datos!N16," - ")</f>
        <v>2904</v>
      </c>
      <c r="G16" s="407">
        <f t="shared" si="4"/>
        <v>726</v>
      </c>
      <c r="H16" s="406">
        <f>IF(ISNUMBER(Datos!O16),Datos!O16," - ")</f>
        <v>14</v>
      </c>
      <c r="I16" s="407">
        <f t="shared" si="5"/>
        <v>3.5</v>
      </c>
    </row>
    <row r="17" spans="1:9" ht="13.5" thickBot="1">
      <c r="A17" s="405" t="str">
        <f>Datos!A17</f>
        <v>Jdos. Violencia contra la mujer</v>
      </c>
      <c r="B17" s="430">
        <f>Datos!AO17</f>
        <v>1</v>
      </c>
      <c r="C17" s="431">
        <f>Datos!AQ17</f>
        <v>0</v>
      </c>
      <c r="D17" s="406">
        <f>IF(ISNUMBER(Datos!M17),Datos!M17," - ")</f>
        <v>119</v>
      </c>
      <c r="E17" s="407">
        <f>IF(ISNUMBER(D17/B17),D17/B17," - ")</f>
        <v>119</v>
      </c>
      <c r="F17" s="406">
        <f>IF(ISNUMBER(Datos!N17),Datos!N17," - ")</f>
        <v>271</v>
      </c>
      <c r="G17" s="407">
        <f>IF(ISNUMBER(F17/B17),F17/B17," - ")</f>
        <v>271</v>
      </c>
      <c r="H17" s="406">
        <f>IF(ISNUMBER(Datos!O17),Datos!O17," - ")</f>
        <v>15</v>
      </c>
      <c r="I17" s="407">
        <f t="shared" si="5"/>
        <v>15</v>
      </c>
    </row>
    <row r="18" spans="1:9" ht="14.25" thickTop="1" thickBot="1">
      <c r="A18" s="851" t="str">
        <f>Datos!A18</f>
        <v>TOTAL</v>
      </c>
      <c r="B18" s="852">
        <f>Datos!AO18</f>
        <v>5</v>
      </c>
      <c r="C18" s="854">
        <f>Datos!AR18</f>
        <v>4</v>
      </c>
      <c r="D18" s="852">
        <f>SUBTOTAL(9,D15:D17)</f>
        <v>699</v>
      </c>
      <c r="E18" s="853">
        <f t="shared" si="3"/>
        <v>139.80000000000001</v>
      </c>
      <c r="F18" s="852">
        <f>SUBTOTAL(9,F15:F17)</f>
        <v>3175</v>
      </c>
      <c r="G18" s="853">
        <f t="shared" si="4"/>
        <v>635</v>
      </c>
      <c r="H18" s="852">
        <f>SUBTOTAL(9,H15:H17)</f>
        <v>29</v>
      </c>
      <c r="I18" s="853">
        <f>IF(ISNUMBER(H18/B18),H18/B18," - ")</f>
        <v>5.8</v>
      </c>
    </row>
    <row r="19" spans="1:9" ht="14.25" thickTop="1" thickBot="1">
      <c r="A19" s="796" t="str">
        <f>Datos!A19</f>
        <v>TOTAL JURISDICCIONES</v>
      </c>
      <c r="B19" s="797">
        <f>Datos!AP19</f>
        <v>4</v>
      </c>
      <c r="C19" s="797">
        <f>Datos!AR19</f>
        <v>4</v>
      </c>
      <c r="D19" s="797">
        <f>SUBTOTAL(9,D8:D18)</f>
        <v>1400</v>
      </c>
      <c r="E19" s="798">
        <f>IF(ISNUMBER(D19/B19),D19/B19," - ")</f>
        <v>350</v>
      </c>
      <c r="F19" s="797">
        <f>SUBTOTAL(9,F8:F18)</f>
        <v>5376</v>
      </c>
      <c r="G19" s="798">
        <f>IF(ISNUMBER(F19/B19),F19/B19," - ")</f>
        <v>1344</v>
      </c>
      <c r="H19" s="797">
        <f>SUBTOTAL(9,H8:H18)</f>
        <v>1647</v>
      </c>
      <c r="I19" s="798">
        <f>IF(ISNUMBER(H19/B19),H19/B19," - ")</f>
        <v>411.75</v>
      </c>
    </row>
    <row r="22" spans="1:9">
      <c r="A22" s="394" t="str">
        <f>Criterios!A4</f>
        <v>Fecha Informe: 03 may. 2024</v>
      </c>
    </row>
    <row r="27" spans="1:9">
      <c r="A27" s="417"/>
    </row>
  </sheetData>
  <sheetProtection algorithmName="SHA-512" hashValue="ueYbaO52D3jtIDQOZDkYo0b5+WW9b8Ka1gMXGeA3P2HYobaj1KL5gG698UyZoqHywjFubQBXcquqEqPYx8NoXw==" saltValue="acrhxT452SCFNdOvA53s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REQUENA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889</v>
      </c>
      <c r="C12" s="437">
        <f>IF(ISNUMBER(Datos!Q12),Datos!Q12," - ")</f>
        <v>603</v>
      </c>
      <c r="D12" s="411">
        <f>IF(ISNUMBER(Datos!R12),Datos!R12," - ")</f>
        <v>4374</v>
      </c>
    </row>
    <row r="13" spans="1:4" ht="14.25" thickTop="1" thickBot="1">
      <c r="A13" s="851" t="str">
        <f>Datos!A13</f>
        <v>TOTAL</v>
      </c>
      <c r="B13" s="852">
        <f>SUBTOTAL(9,B9:B12)</f>
        <v>891</v>
      </c>
      <c r="C13" s="856">
        <f>SUBTOTAL(9,C9:C12)</f>
        <v>605</v>
      </c>
      <c r="D13" s="854">
        <f>SUBTOTAL(9,D9:D12)</f>
        <v>4375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141</v>
      </c>
      <c r="C16" s="437">
        <f>IF(ISNUMBER(Datos!Q16),Datos!Q16," - ")</f>
        <v>166</v>
      </c>
      <c r="D16" s="411">
        <f>IF(ISNUMBER(Datos!R16),Datos!R16," - ")</f>
        <v>271</v>
      </c>
    </row>
    <row r="17" spans="1:4" ht="13.5" thickBot="1">
      <c r="A17" s="405" t="str">
        <f>Datos!A17</f>
        <v>Jdos. Violencia contra la mujer</v>
      </c>
      <c r="B17" s="436">
        <f>IF(ISNUMBER(Datos!P17),Datos!P17," - ")</f>
        <v>20</v>
      </c>
      <c r="C17" s="437">
        <f>IF(ISNUMBER(Datos!Q17),Datos!Q17," - ")</f>
        <v>19</v>
      </c>
      <c r="D17" s="411">
        <f>IF(ISNUMBER(Datos!R17),Datos!R17," - ")</f>
        <v>17</v>
      </c>
    </row>
    <row r="18" spans="1:4" ht="14.25" thickTop="1" thickBot="1">
      <c r="A18" s="851" t="str">
        <f>Datos!A18</f>
        <v>TOTAL</v>
      </c>
      <c r="B18" s="852">
        <f>SUBTOTAL(9,B15:B17)</f>
        <v>161</v>
      </c>
      <c r="C18" s="856">
        <f>SUBTOTAL(9,C15:C17)</f>
        <v>185</v>
      </c>
      <c r="D18" s="854">
        <f>SUBTOTAL(9,D15:D17)</f>
        <v>288</v>
      </c>
    </row>
    <row r="19" spans="1:4" ht="16.5" customHeight="1" thickTop="1" thickBot="1">
      <c r="A19" s="796" t="str">
        <f>Datos!A19</f>
        <v>TOTAL JURISDICCIONES</v>
      </c>
      <c r="B19" s="801">
        <f>SUBTOTAL(9,B8:B18)</f>
        <v>1052</v>
      </c>
      <c r="C19" s="802">
        <f>SUBTOTAL(9,C8:C18)</f>
        <v>790</v>
      </c>
      <c r="D19" s="803">
        <f>SUBTOTAL(9,D8:D18)</f>
        <v>4663</v>
      </c>
    </row>
    <row r="20" spans="1:4" ht="7.5" customHeight="1"/>
    <row r="21" spans="1:4" ht="6" customHeight="1"/>
    <row r="22" spans="1:4">
      <c r="A22" s="394" t="str">
        <f>Criterios!A4</f>
        <v>Fecha Informe: 03 may. 2024</v>
      </c>
    </row>
    <row r="27" spans="1:4">
      <c r="A27" s="417"/>
    </row>
  </sheetData>
  <sheetProtection algorithmName="SHA-512" hashValue="YB0upOuz/1ri4j+6CZ+HzxB+V/AWBFnyo3PcLxCPpJrcYnZNp63BQ0lgqA3qwWlicrM1qVNirJX2N2TPqe6qIg==" saltValue="GHJ7Q1/h8sVsWFqyPBws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REQUENA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1.0217391304347827</v>
      </c>
      <c r="D10" s="459">
        <f>IF(ISNUMBER((Datos!K10-Datos!U10)/Datos!U10),(Datos!K10-Datos!U10)/Datos!U10," - ")</f>
        <v>0.21739130434782608</v>
      </c>
      <c r="E10" s="459">
        <f>IF(ISNUMBER((Datos!L10-Datos!V10)/Datos!V10),(Datos!L10-Datos!V10)/Datos!V10," - ")</f>
        <v>1.1935483870967742</v>
      </c>
      <c r="F10" s="459">
        <f>IF(ISNUMBER((Datos!M10-Datos!W10)/Datos!W10),(Datos!M10-Datos!W10)/Datos!W10," - ")</f>
        <v>0.33333333333333331</v>
      </c>
      <c r="G10" s="460">
        <f>IF(ISNUMBER((Datos!N10-Datos!X10)/Datos!X10),(Datos!N10-Datos!X10)/Datos!X10," - ")</f>
        <v>-0.35294117647058826</v>
      </c>
      <c r="H10" s="458">
        <f>IF(ISNUMBER(((NºAsuntos!G10/NºAsuntos!E10)-Datos!BD10)/Datos!BD10),((NºAsuntos!G10/NºAsuntos!E10)-Datos!BD10)/Datos!BD10," - ")</f>
        <v>-0.39784946236559138</v>
      </c>
      <c r="I10" s="459">
        <f>IF(ISNUMBER(((NºAsuntos!I10/NºAsuntos!G10)-Datos!BE10)/Datos!BE10),((NºAsuntos!I10/NºAsuntos!G10)-Datos!BE10)/Datos!BE10," - ")</f>
        <v>0.80184331797235009</v>
      </c>
      <c r="J10" s="464">
        <f>IF(ISNUMBER((('Resol  Asuntos'!D10/NºAsuntos!G10)-Datos!BF10)/Datos!BF10),(('Resol  Asuntos'!D10/NºAsuntos!G10)-Datos!BF10)/Datos!BF10," - ")</f>
        <v>9.5238095238095219E-2</v>
      </c>
      <c r="K10" s="465">
        <f>IF(ISNUMBER((((NºAsuntos!C10+NºAsuntos!E10)/NºAsuntos!G10)-Datos!BG10)/Datos!BG10),(((NºAsuntos!C10+NºAsuntos!E10)/NºAsuntos!G10)-Datos!BG10)/Datos!BG10," - ")</f>
        <v>0.32282003710575136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0.47707671357240128</v>
      </c>
      <c r="C12" s="459">
        <f>IF(ISNUMBER(
   IF(J_V="SI",(Datos!J12-Datos!T12)/Datos!T12,(Datos!J12+Datos!Z12-(Datos!T12+Datos!AH12))/(Datos!T12+Datos!AH12))
     ),IF(J_V="SI",(Datos!J12-Datos!T12)/Datos!T12,(Datos!J12+Datos!Z12-(Datos!T12+Datos!AH12))/(Datos!T12+Datos!AH12))," - ")</f>
        <v>-8.0394922425952045E-2</v>
      </c>
      <c r="D12" s="459">
        <f>IF(ISNUMBER(
   IF(J_V="SI",(Datos!K12-Datos!U12)/Datos!U12,(Datos!K12+Datos!AA12-(Datos!U12+Datos!AI12))/(Datos!U12+Datos!AI12))
     ),IF(J_V="SI",(Datos!K12-Datos!U12)/Datos!U12,(Datos!K12+Datos!AA12-(Datos!U12+Datos!AI12))/(Datos!U12+Datos!AI12))," - ")</f>
        <v>-1.8464309840126099E-2</v>
      </c>
      <c r="E12" s="459">
        <f>IF(ISNUMBER(
   IF(J_V="SI",(Datos!L12-Datos!V12)/Datos!V12,(Datos!L12+Datos!AB12-(Datos!V12+Datos!AJ12))/(Datos!V12+Datos!AJ12))
     ),IF(J_V="SI",(Datos!L12-Datos!V12)/Datos!V12,(Datos!L12+Datos!AB12-(Datos!V12+Datos!AJ12))/(Datos!V12+Datos!AJ12))," - ")</f>
        <v>-3.8106945298094649E-2</v>
      </c>
      <c r="F12" s="459">
        <f>IF(ISNUMBER((Datos!M12-Datos!W12)/Datos!W12),(Datos!M12-Datos!W12)/Datos!W12," - ")</f>
        <v>-5.9405940594059403E-2</v>
      </c>
      <c r="G12" s="460">
        <f>IF(ISNUMBER((Datos!N12-Datos!X12)/Datos!X12),(Datos!N12-Datos!X12)/Datos!X12," - ")</f>
        <v>-0.13026211278792693</v>
      </c>
      <c r="H12" s="458">
        <f>IF(ISNUMBER(((NºAsuntos!G12/NºAsuntos!E12)-Datos!BD12)/Datos!BD12),((NºAsuntos!G12/NºAsuntos!E12)-Datos!BD12)/Datos!BD12," - ")</f>
        <v>6.7344791906979451E-2</v>
      </c>
      <c r="I12" s="459">
        <f>IF(ISNUMBER(((NºAsuntos!I12/NºAsuntos!G12)-Datos!BE12)/Datos!BE12),((NºAsuntos!I12/NºAsuntos!G12)-Datos!BE12)/Datos!BE12," - ")</f>
        <v>-2.0012145920816304E-2</v>
      </c>
      <c r="J12" s="464">
        <f>IF(ISNUMBER((('Resol  Asuntos'!D12/NºAsuntos!G12)-Datos!BF12)/Datos!BF12),(('Resol  Asuntos'!D12/NºAsuntos!G12)-Datos!BF12)/Datos!BF12," - ")</f>
        <v>-0.73093337968917893</v>
      </c>
      <c r="K12" s="465">
        <f>IF(ISNUMBER((((NºAsuntos!C12+NºAsuntos!E12)/NºAsuntos!G12)-Datos!BG12)/Datos!BG12),(((NºAsuntos!C12+NºAsuntos!E12)/NºAsuntos!G12)-Datos!BG12)/Datos!BG12," - ")</f>
        <v>0.11150844423050739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0.4704565801253357</v>
      </c>
      <c r="C13" s="858">
        <f>IF(ISNUMBER(
   IF(J_V="SI",(Datos!J13-Datos!T13)/Datos!T13,(Datos!J13+Datos!Z13-(Datos!T13+Datos!AH13))/(Datos!T13+Datos!AH13))
     ),IF(J_V="SI",(Datos!J13-Datos!T13)/Datos!T13,(Datos!J13+Datos!Z13-(Datos!T13+Datos!AH13))/(Datos!T13+Datos!AH13))," - ")</f>
        <v>-7.0273507686164902E-2</v>
      </c>
      <c r="D13" s="858">
        <f>IF(ISNUMBER(
   IF(J_V="SI",(Datos!K13-Datos!U13)/Datos!U13,(Datos!K13+Datos!AA13-(Datos!U13+Datos!AI13))/(Datos!U13+Datos!AI13))
     ),IF(J_V="SI",(Datos!K13-Datos!U13)/Datos!U13,(Datos!K13+Datos!AA13-(Datos!U13+Datos!AI13))/(Datos!U13+Datos!AI13))," - ")</f>
        <v>-1.6046356139959885E-2</v>
      </c>
      <c r="E13" s="858">
        <f>IF(ISNUMBER(
   IF(J_V="SI",(Datos!L13-Datos!V13)/Datos!V13,(Datos!L13+Datos!AB13-(Datos!V13+Datos!AJ13))/(Datos!V13+Datos!AJ13))
     ),IF(J_V="SI",(Datos!L13-Datos!V13)/Datos!V13,(Datos!L13+Datos!AB13-(Datos!V13+Datos!AJ13))/(Datos!V13+Datos!AJ13))," - ")</f>
        <v>-2.6484018264840183E-2</v>
      </c>
      <c r="F13" s="859">
        <f>IF(ISNUMBER((Datos!M13-Datos!W13)/Datos!W13),(Datos!M13-Datos!W13)/Datos!W13," - ")</f>
        <v>-4.4959128065395093E-2</v>
      </c>
      <c r="G13" s="860">
        <f>IF(ISNUMBER((Datos!N13-Datos!X13)/Datos!X13),(Datos!N13-Datos!X13)/Datos!X13," - ")</f>
        <v>-0.13175542406311638</v>
      </c>
      <c r="H13" s="860">
        <f>IF(ISNUMBER(((NºAsuntos!G13/NºAsuntos!E13)-Datos!BD13)/Datos!BD13),((NºAsuntos!G13/NºAsuntos!E13)-Datos!BD13)/Datos!BD13," - ")</f>
        <v>5.8325918422791653E-2</v>
      </c>
      <c r="I13" s="860">
        <f>IF(ISNUMBER(((NºAsuntos!I13/NºAsuntos!G13)-Datos!BE13)/Datos!BE13),((NºAsuntos!I13/NºAsuntos!G13)-Datos!BE13)/Datos!BE13," - ")</f>
        <v>-1.0607879944357329E-2</v>
      </c>
      <c r="J13" s="860">
        <f>IF(ISNUMBER((('Resol  Asuntos'!D13/NºAsuntos!G13)-Datos!BF13)/Datos!BF13),(('Resol  Asuntos'!D13/NºAsuntos!G13)-Datos!BF13)/Datos!BF13," - ")</f>
        <v>-0.72006603670733138</v>
      </c>
      <c r="K13" s="860">
        <f>IF(ISNUMBER((((NºAsuntos!C13+NºAsuntos!E13)/NºAsuntos!G13)-Datos!BG13)/Datos!BG13),(((NºAsuntos!C13+NºAsuntos!E13)/NºAsuntos!G13)-Datos!BG13)/Datos!BG13," - ")</f>
        <v>0.1143888526572069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0.14831905075807514</v>
      </c>
      <c r="C16" s="459">
        <f>IF(ISNUMBER(
   IF(D_I="SI",(Datos!J16-Datos!T16)/Datos!T16,(Datos!J16+Datos!AD16-(Datos!T16+Datos!AL16))/(Datos!T16+Datos!AL16))
     ),IF(D_I="SI",(Datos!J16-Datos!T16)/Datos!T16,(Datos!J16+Datos!AD16-(Datos!T16+Datos!AL16))/(Datos!T16+Datos!AL16))," - ")</f>
        <v>1.5454725579552209E-2</v>
      </c>
      <c r="D16" s="459">
        <f>IF(ISNUMBER(
   IF(D_I="SI",(Datos!K16-Datos!U16)/Datos!U16,(Datos!K16+Datos!AE16-(Datos!U16+Datos!AM16))/(Datos!U16+Datos!AM16))
     ),IF(D_I="SI",(Datos!K16-Datos!U16)/Datos!U16,(Datos!K16+Datos!AE16-(Datos!U16+Datos!AM16))/(Datos!U16+Datos!AM16))," - ")</f>
        <v>1.3268465280849183E-2</v>
      </c>
      <c r="E16" s="459">
        <f>IF(ISNUMBER(
   IF(D_I="SI",(Datos!L16-Datos!V16)/Datos!V16,(Datos!L16+Datos!AF16-(Datos!V16+Datos!AN16))/(Datos!V16+Datos!AN16))
     ),IF(D_I="SI",(Datos!L16-Datos!V16)/Datos!V16,(Datos!L16+Datos!AF16-(Datos!V16+Datos!AN16))/(Datos!V16+Datos!AN16))," - ")</f>
        <v>-2.2962112514351321E-3</v>
      </c>
      <c r="F16" s="459">
        <f>IF(ISNUMBER((Datos!M16-Datos!W16)/Datos!W16),(Datos!M16-Datos!W16)/Datos!W16," - ")</f>
        <v>-0.1876750700280112</v>
      </c>
      <c r="G16" s="460">
        <f>IF(ISNUMBER((Datos!N16-Datos!X16)/Datos!X16),(Datos!N16-Datos!X16)/Datos!X16," - ")</f>
        <v>1.3612565445026177E-2</v>
      </c>
      <c r="H16" s="458">
        <f>IF(ISNUMBER(((NºAsuntos!G16/NºAsuntos!E16)-Datos!BD16)/Datos!BD16),((NºAsuntos!G16/NºAsuntos!E16)-Datos!BD16)/Datos!BD16," - ")</f>
        <v>-2.1529864834252382E-3</v>
      </c>
      <c r="I16" s="459">
        <f>IF(ISNUMBER(((NºAsuntos!I16/NºAsuntos!G16)-Datos!BE16)/Datos!BE16),((NºAsuntos!I16/NºAsuntos!G16)-Datos!BE16)/Datos!BE16," - ")</f>
        <v>-1.5360861475117766E-2</v>
      </c>
      <c r="J16" s="464">
        <f>IF(ISNUMBER((('Resol  Asuntos'!D16/NºAsuntos!G16)-Datos!BF16)/Datos!BF16),(('Resol  Asuntos'!D16/NºAsuntos!G16)-Datos!BF16)/Datos!BF16," - ")</f>
        <v>-0.19831223628691974</v>
      </c>
      <c r="K16" s="465">
        <f>IF(ISNUMBER((((NºAsuntos!C16+NºAsuntos!E16)/NºAsuntos!G16)-Datos!BG16)/Datos!BG16),(((NºAsuntos!C16+NºAsuntos!E16)/NºAsuntos!G16)-Datos!BG16)/Datos!BG16," - ")</f>
        <v>3.2461695355085467E-2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0.51818181818181819</v>
      </c>
      <c r="C17" s="459">
        <f>IF(ISNUMBER(
   IF(D_I="SI",(Datos!J17-Datos!T17)/Datos!T17,(Datos!J17+Datos!AD17-(Datos!T17+Datos!AL17))/(Datos!T17+Datos!AL17))
     ),IF(D_I="SI",(Datos!J17-Datos!T17)/Datos!T17,(Datos!J17+Datos!AD17-(Datos!T17+Datos!AL17))/(Datos!T17+Datos!AL17))," - ")</f>
        <v>0.25879917184265011</v>
      </c>
      <c r="D17" s="459">
        <f>IF(ISNUMBER(
   IF(D_I="SI",(Datos!K17-Datos!U17)/Datos!U17,(Datos!K17+Datos!AE17-(Datos!U17+Datos!AM17))/(Datos!U17+Datos!AM17))
     ),IF(D_I="SI",(Datos!K17-Datos!U17)/Datos!U17,(Datos!K17+Datos!AE17-(Datos!U17+Datos!AM17))/(Datos!U17+Datos!AM17))," - ")</f>
        <v>0.38732394366197181</v>
      </c>
      <c r="E17" s="459">
        <f>IF(ISNUMBER(
   IF(D_I="SI",(Datos!L17-Datos!V17)/Datos!V17,(Datos!L17+Datos!AF17-(Datos!V17+Datos!AN17))/(Datos!V17+Datos!AN17))
     ),IF(D_I="SI",(Datos!L17-Datos!V17)/Datos!V17,(Datos!L17+Datos!AF17-(Datos!V17+Datos!AN17))/(Datos!V17+Datos!AN17))," - ")</f>
        <v>8.3832335329341312E-2</v>
      </c>
      <c r="F17" s="459">
        <f>IF(ISNUMBER((Datos!M17-Datos!W17)/Datos!W17),(Datos!M17-Datos!W17)/Datos!W17," - ")</f>
        <v>0.54545454545454541</v>
      </c>
      <c r="G17" s="460">
        <f>IF(ISNUMBER((Datos!N17-Datos!X17)/Datos!X17),(Datos!N17-Datos!X17)/Datos!X17," - ")</f>
        <v>0.1016260162601626</v>
      </c>
      <c r="H17" s="458">
        <f>IF(ISNUMBER(((NºAsuntos!G17/NºAsuntos!E17)-Datos!BD17)/Datos!BD17),((NºAsuntos!G17/NºAsuntos!E17)-Datos!BD17)/Datos!BD17," - ")</f>
        <v>0.10210109340252037</v>
      </c>
      <c r="I17" s="459">
        <f>IF(ISNUMBER(((NºAsuntos!I17/NºAsuntos!G17)-Datos!BE17)/Datos!BE17),((NºAsuntos!I17/NºAsuntos!G17)-Datos!BE17)/Datos!BE17," - ")</f>
        <v>-0.2187604486458555</v>
      </c>
      <c r="J17" s="464">
        <f>IF(ISNUMBER((('Resol  Asuntos'!D17/NºAsuntos!G17)-Datos!BF17)/Datos!BF17),(('Resol  Asuntos'!D17/NºAsuntos!G17)-Datos!BF17)/Datos!BF17," - ")</f>
        <v>0.11398246423627136</v>
      </c>
      <c r="K17" s="465">
        <f>IF(ISNUMBER((((NºAsuntos!C17+NºAsuntos!E17)/NºAsuntos!G17)-Datos!BG17)/Datos!BG17),(((NºAsuntos!C17+NºAsuntos!E17)/NºAsuntos!G17)-Datos!BG17)/Datos!BG17," - ")</f>
        <v>-5.7960469436145967E-2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0.17332513829133375</v>
      </c>
      <c r="C18" s="858">
        <f>IF(ISNUMBER(
   IF(Criterios!B14="SI",(Datos!J18-Datos!T18)/Datos!T18,(Datos!J18+Datos!AD18-(Datos!T18+Datos!AL18))/(Datos!T18+Datos!AL18))
     ),IF(Criterios!B14="SI",(Datos!J18-Datos!T18)/Datos!T18,(Datos!J18+Datos!AD18-(Datos!T18+Datos!AL18))/(Datos!T18+Datos!AL18))," - ")</f>
        <v>3.6708860759493672E-2</v>
      </c>
      <c r="D18" s="858">
        <f>IF(ISNUMBER(
   IF(Criterios!B14="SI",(Datos!K18-Datos!U18)/Datos!U18,(Datos!K18+Datos!AE18-(Datos!U18+Datos!AM18))/(Datos!U18+Datos!AM18))
     ),IF(Criterios!B14="SI",(Datos!K18-Datos!U18)/Datos!U18,(Datos!K18+Datos!AE18-(Datos!U18+Datos!AM18))/(Datos!U18+Datos!AM18))," - ")</f>
        <v>4.547291835084883E-2</v>
      </c>
      <c r="E18" s="858">
        <f>IF(ISNUMBER(
   IF(Criterios!B14="SI",(Datos!L18-Datos!V18)/Datos!V18,(Datos!L18+Datos!AF18-(Datos!V18+Datos!AN18))/(Datos!V18+Datos!AN18))
     ),IF(Criterios!B14="SI",(Datos!L18-Datos!V18)/Datos!V18,(Datos!L18+Datos!AF18-(Datos!V18+Datos!AN18))/(Datos!V18+Datos!AN18))," - ")</f>
        <v>5.2383446830801469E-3</v>
      </c>
      <c r="F18" s="859">
        <f>IF(ISNUMBER((Datos!M18-Datos!W18)/Datos!W18),(Datos!M18-Datos!W18)/Datos!W18," - ")</f>
        <v>-0.11630847029077118</v>
      </c>
      <c r="G18" s="860">
        <f>IF(ISNUMBER((Datos!N18-Datos!X18)/Datos!X18),(Datos!N18-Datos!X18)/Datos!X18," - ")</f>
        <v>2.0572163291546125E-2</v>
      </c>
      <c r="H18" s="860">
        <f>IF(ISNUMBER(((NºAsuntos!G18/NºAsuntos!E18)-Datos!BD18)/Datos!BD18),((NºAsuntos!G18/NºAsuntos!E18)-Datos!BD18)/Datos!BD18," - ")</f>
        <v>8.4537307657761122E-3</v>
      </c>
      <c r="I18" s="860">
        <f>IF(ISNUMBER(((NºAsuntos!I18/NºAsuntos!G18)-Datos!BE18)/Datos!BE18),((NºAsuntos!I18/NºAsuntos!G18)-Datos!BE18)/Datos!BE18," - ")</f>
        <v>-3.8484568047191178E-2</v>
      </c>
      <c r="J18" s="860">
        <f>IF(ISNUMBER((('Resol  Asuntos'!D18/NºAsuntos!G18)-Datos!BF18)/Datos!BF18),(('Resol  Asuntos'!D18/NºAsuntos!G18)-Datos!BF18)/Datos!BF18," - ")</f>
        <v>-0.1547446957275731</v>
      </c>
      <c r="K18" s="860">
        <f>IF(ISNUMBER((((NºAsuntos!C18+NºAsuntos!E18)/NºAsuntos!G18)-Datos!BG18)/Datos!BG18),(((NºAsuntos!C18+NºAsuntos!E18)/NºAsuntos!G18)-Datos!BG18)/Datos!BG18," - ")</f>
        <v>2.1323273828509688E-2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0.34524734524734524</v>
      </c>
      <c r="C19" s="805">
        <f>IF(ISNUMBER(
   IF(J_V="SI",(Datos!J19-Datos!T19)/Datos!T19,(Datos!J19+Datos!Z19-(Datos!T19+Datos!AH19))/(Datos!T19+Datos!AH19))
     ),IF(J_V="SI",(Datos!J19-Datos!T19)/Datos!T19,(Datos!J19+Datos!Z19-(Datos!T19+Datos!AH19))/(Datos!T19+Datos!AH19))," - ")</f>
        <v>-1.4137963753676819E-2</v>
      </c>
      <c r="D19" s="805">
        <f>IF(ISNUMBER(
   IF(J_V="SI",(Datos!K19-Datos!U19)/Datos!U19,(Datos!K19+Datos!AA19-(Datos!U19+Datos!AI19))/(Datos!U19+Datos!AI19))
     ),IF(J_V="SI",(Datos!K19-Datos!U19)/Datos!U19,(Datos!K19+Datos!AA19-(Datos!U19+Datos!AI19))/(Datos!U19+Datos!AI19))," - ")</f>
        <v>1.6216216216216217E-2</v>
      </c>
      <c r="E19" s="805">
        <f>IF(ISNUMBER(
   IF(J_V="SI",(Datos!L19-Datos!V19)/Datos!V19,(Datos!L19+Datos!AB19-(Datos!V19+Datos!AJ19))/(Datos!V19+Datos!AJ19))
     ),IF(J_V="SI",(Datos!L19-Datos!V19)/Datos!V19,(Datos!L19+Datos!AB19-(Datos!V19+Datos!AJ19))/(Datos!V19+Datos!AJ19))," - ")</f>
        <v>-1.4824797843665768E-2</v>
      </c>
      <c r="F19" s="806">
        <f>IF(ISNUMBER((Datos!M19-Datos!W19)/Datos!W19),(Datos!M19-Datos!W19)/Datos!W19," - ")</f>
        <v>-8.1967213114754092E-2</v>
      </c>
      <c r="G19" s="807">
        <f>IF(ISNUMBER((Datos!N19-Datos!X19)/Datos!X19),(Datos!N19-Datos!X19)/Datos!X19," - ")</f>
        <v>-4.7821466524973433E-2</v>
      </c>
      <c r="H19" s="808">
        <f>IF(ISNUMBER((Tasas!B19-Datos!BD19)/Datos!BD19),(Tasas!B19-Datos!BD19)/Datos!BD19," - ")</f>
        <v>3.0789480529615252E-2</v>
      </c>
      <c r="I19" s="809">
        <f>IF(ISNUMBER((Tasas!C19-Datos!BE19)/Datos!BE19),(Tasas!C19-Datos!BE19)/Datos!BE19," - ")</f>
        <v>-3.0545678729139263E-2</v>
      </c>
      <c r="J19" s="810">
        <f>IF(ISNUMBER((Tasas!D19-Datos!BF19)/Datos!BF19),(Tasas!D19-Datos!BF19)/Datos!BF19," - ")</f>
        <v>-0.58703250165824783</v>
      </c>
      <c r="K19" s="810">
        <f>IF(ISNUMBER((Tasas!E19-Datos!BG19)/Datos!BG19),(Tasas!E19-Datos!BG19)/Datos!BG19," - ")</f>
        <v>6.49527186761229E-2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RzlVDn+D/4lUqpel7rDm/DTfHjZIaNAMKV85eiZfgvwDwE49hPrxtqwCBpy4Jd0uQoQ1+2ft+6Oe+pkn8UHKQ==" saltValue="Z0lb4SkB7TLlHBKvhKDr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REQUENA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0.60215053763440862</v>
      </c>
      <c r="C10" s="446">
        <f>IF(ISNUMBER(NºAsuntos!I10/NºAsuntos!G10),NºAsuntos!I10/NºAsuntos!G10," - ")</f>
        <v>1.2142857142857142</v>
      </c>
      <c r="D10" s="447">
        <f>IF(ISNUMBER('Resol  Asuntos'!D10/NºAsuntos!G10),'Resol  Asuntos'!D10/NºAsuntos!G10," - ")</f>
        <v>0.6428571428571429</v>
      </c>
      <c r="E10" s="448">
        <f>IF(ISNUMBER((NºAsuntos!C10+NºAsuntos!E10)/NºAsuntos!G10),(NºAsuntos!C10+NºAsuntos!E10)/NºAsuntos!G10," - ")</f>
        <v>2.2142857142857144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0.95508326029798418</v>
      </c>
      <c r="C12" s="446">
        <f>IF(ISNUMBER(NºAsuntos!I12/NºAsuntos!G12),NºAsuntos!I12/NºAsuntos!G12," - ")</f>
        <v>0.71805459967882546</v>
      </c>
      <c r="D12" s="447">
        <f>IF(ISNUMBER('Resol  Asuntos'!D12/NºAsuntos!G12),'Resol  Asuntos'!D12/NºAsuntos!G12," - ")</f>
        <v>0.15255792612984628</v>
      </c>
      <c r="E12" s="448">
        <f>IF(ISNUMBER((NºAsuntos!C12+NºAsuntos!E12)/NºAsuntos!G12),(NºAsuntos!C12+NºAsuntos!E12)/NºAsuntos!G12," - ")</f>
        <v>1.7935306262904336</v>
      </c>
      <c r="G12" s="466"/>
    </row>
    <row r="13" spans="1:7" ht="14.25" thickTop="1" thickBot="1">
      <c r="A13" s="851" t="str">
        <f>Datos!A13</f>
        <v>TOTAL</v>
      </c>
      <c r="B13" s="861">
        <f>IF(ISNUMBER(NºAsuntos!G13/NºAsuntos!E13),NºAsuntos!G13/NºAsuntos!E13," - ")</f>
        <v>0.94803521580416572</v>
      </c>
      <c r="C13" s="862">
        <f>IF(ISNUMBER(NºAsuntos!I13/NºAsuntos!G13),NºAsuntos!I13/NºAsuntos!G13," - ")</f>
        <v>0.72434881087202718</v>
      </c>
      <c r="D13" s="863">
        <f>IF(ISNUMBER('Resol  Asuntos'!D13/NºAsuntos!G13),'Resol  Asuntos'!D13/NºAsuntos!G13," - ")</f>
        <v>0.15877689694224237</v>
      </c>
      <c r="E13" s="864">
        <f>IF(ISNUMBER((NºAsuntos!C13+NºAsuntos!E13)/NºAsuntos!G13),(NºAsuntos!C13+NºAsuntos!E13)/NºAsuntos!G13," - ")</f>
        <v>1.7988674971687428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0.89404878048780489</v>
      </c>
      <c r="C16" s="446">
        <f>IF(ISNUMBER(NºAsuntos!I16/NºAsuntos!G16),NºAsuntos!I16/NºAsuntos!G16," - ")</f>
        <v>0.37931034482758619</v>
      </c>
      <c r="D16" s="447">
        <f>IF(ISNUMBER('Resol  Asuntos'!D16/NºAsuntos!G16),'Resol  Asuntos'!D16/NºAsuntos!G16," - ")</f>
        <v>0.12658227848101267</v>
      </c>
      <c r="E16" s="448">
        <f>IF(ISNUMBER((NºAsuntos!C16+NºAsuntos!E16)/NºAsuntos!G16),(NºAsuntos!C16+NºAsuntos!E16)/NºAsuntos!G16," - ")</f>
        <v>1.4986905281536447</v>
      </c>
      <c r="G16" s="466"/>
    </row>
    <row r="17" spans="1:7" ht="13.5" thickBot="1">
      <c r="A17" s="405" t="str">
        <f>Datos!A17</f>
        <v>Jdos. Violencia contra la mujer</v>
      </c>
      <c r="B17" s="445">
        <f>IF(ISNUMBER(NºAsuntos!G17/NºAsuntos!E17),NºAsuntos!G17/NºAsuntos!E17," - ")</f>
        <v>0.97203947368421051</v>
      </c>
      <c r="C17" s="446">
        <f>IF(ISNUMBER(NºAsuntos!I17/NºAsuntos!G17),NºAsuntos!I17/NºAsuntos!G17," - ")</f>
        <v>0.30626057529610828</v>
      </c>
      <c r="D17" s="447">
        <f>IF(ISNUMBER('Resol  Asuntos'!D17/NºAsuntos!G17),'Resol  Asuntos'!D17/NºAsuntos!G17," - ")</f>
        <v>0.20135363790186125</v>
      </c>
      <c r="E17" s="448">
        <f>IF(ISNUMBER((NºAsuntos!C17+NºAsuntos!E17)/NºAsuntos!G17),(NºAsuntos!C17+NºAsuntos!E17)/NºAsuntos!G17," - ")</f>
        <v>1.3113367174280879</v>
      </c>
      <c r="G17" s="466"/>
    </row>
    <row r="18" spans="1:7" ht="14.25" thickTop="1" thickBot="1">
      <c r="A18" s="851" t="str">
        <f>Datos!A18</f>
        <v>TOTAL</v>
      </c>
      <c r="B18" s="861">
        <f>IF(ISNUMBER(NºAsuntos!G18/NºAsuntos!E18),NºAsuntos!G18/NºAsuntos!E18," - ")</f>
        <v>0.90231990231990233</v>
      </c>
      <c r="C18" s="862">
        <f>IF(ISNUMBER(NºAsuntos!I18/NºAsuntos!G18),NºAsuntos!I18/NºAsuntos!G18," - ")</f>
        <v>0.37096462400927893</v>
      </c>
      <c r="D18" s="865">
        <f>IF(ISNUMBER('Resol  Asuntos'!D18/NºAsuntos!G18),'Resol  Asuntos'!D18/NºAsuntos!G18," - ")</f>
        <v>0.13512468586893486</v>
      </c>
      <c r="E18" s="864">
        <f>IF(ISNUMBER((NºAsuntos!C18+NºAsuntos!E18)/NºAsuntos!G18),(NºAsuntos!C18+NºAsuntos!E18)/NºAsuntos!G18," - ")</f>
        <v>1.477285907597139</v>
      </c>
      <c r="G18" s="466"/>
    </row>
    <row r="19" spans="1:7" ht="15.75" customHeight="1" thickTop="1" thickBot="1">
      <c r="A19" s="796" t="str">
        <f>Datos!A19</f>
        <v>TOTAL JURISDICCIONES</v>
      </c>
      <c r="B19" s="811">
        <f>IF(ISNUMBER(NºAsuntos!G19/NºAsuntos!E19),NºAsuntos!G19/NºAsuntos!E19," - ")</f>
        <v>0.92281039461020209</v>
      </c>
      <c r="C19" s="812">
        <f>IF(ISNUMBER(NºAsuntos!I19/NºAsuntos!G19),NºAsuntos!I19/NºAsuntos!G19," - ")</f>
        <v>0.53368794326241131</v>
      </c>
      <c r="D19" s="813">
        <f>IF(ISNUMBER('Resol  Asuntos'!D19/NºAsuntos!G19),'Resol  Asuntos'!D19/NºAsuntos!G19," - ")</f>
        <v>0.14601585314977056</v>
      </c>
      <c r="E19" s="814">
        <f>IF(ISNUMBER((NºAsuntos!C19+NºAsuntos!E19)/NºAsuntos!G19),(NºAsuntos!C19+NºAsuntos!E19)/NºAsuntos!G19," - ")</f>
        <v>1.6253650396328745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o+HD2yiih9k7uBpJMvhB/iMJ5J/pIBGFYZbdEjVYgLGFPAc6nV2AUEUGLFIsbjOYuG6Jdzb52uxiCiHOmb6Hg==" saltValue="KzYpiPtWQEmzGwfEBVI0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REQUENA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56</v>
      </c>
      <c r="X10" s="229">
        <f>IF(ISNUMBER(Datos!Q10),Datos!Q10," - ")</f>
        <v>2</v>
      </c>
      <c r="Y10" s="337">
        <f t="shared" ref="Y10:Y12" si="0">SUM(W10:X10)</f>
        <v>58</v>
      </c>
      <c r="Z10" s="338" t="str">
        <f>IF(ISNUMBER(Datos!CC10),Datos!CC10," - ")</f>
        <v xml:space="preserve"> - </v>
      </c>
      <c r="AA10" s="335">
        <f>IF(ISNUMBER(Datos!L10),Datos!L10,"-")</f>
        <v>68</v>
      </c>
      <c r="AB10" s="337">
        <f>IF(ISNUMBER(Datos!R10),Datos!R10," - ")</f>
        <v>1</v>
      </c>
      <c r="AC10" s="337">
        <f t="shared" ref="AC10:AC12" si="1">IF(ISNUMBER(AA10+AB10),AA10+AB10," - ")</f>
        <v>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36</v>
      </c>
      <c r="AJ10" s="234" t="str">
        <f>IF(ISNUMBER(Datos!BW10),Datos!BW10," - ")</f>
        <v xml:space="preserve"> - </v>
      </c>
      <c r="AK10" s="235" t="str">
        <f>IF(ISNUMBER(Datos!BX10),Datos!BX10," - ")</f>
        <v xml:space="preserve"> - </v>
      </c>
      <c r="AL10" s="246">
        <f>IF(ISNUMBER(NºAsuntos!G10/NºAsuntos!E10),NºAsuntos!G10/NºAsuntos!E10," - ")</f>
        <v>0.60215053763440862</v>
      </c>
      <c r="AM10" s="263">
        <f>IF(ISNUMBER(((NºAsuntos!I10/NºAsuntos!G10)*11)/factor_trimestre),((NºAsuntos!I10/NºAsuntos!G10)*11)/factor_trimestre," - ")</f>
        <v>13.357142857142856</v>
      </c>
      <c r="AN10" s="247">
        <f>IF(ISNUMBER('Resol  Asuntos'!D10/NºAsuntos!G10),'Resol  Asuntos'!D10/NºAsuntos!G10," - ")</f>
        <v>0.6428571428571429</v>
      </c>
      <c r="AO10" s="248">
        <f>IF(ISNUMBER((NºAsuntos!C10+NºAsuntos!E10)/NºAsuntos!G10),(NºAsuntos!C10+NºAsuntos!E10)/NºAsuntos!G10," - ")</f>
        <v>2.2142857142857144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603</v>
      </c>
      <c r="Y12" s="337">
        <f t="shared" si="0"/>
        <v>603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665</v>
      </c>
      <c r="AJ12" s="232" t="str">
        <f>IF(ISNUMBER(Datos!BW12),Datos!BW12," - ")</f>
        <v xml:space="preserve"> - </v>
      </c>
      <c r="AK12" s="231" t="str">
        <f>IF(ISNUMBER(Datos!BX12),Datos!BX12," - ")</f>
        <v xml:space="preserve"> - </v>
      </c>
      <c r="AL12" s="246">
        <f>IF(ISNUMBER(NºAsuntos!G12/NºAsuntos!E12),NºAsuntos!G12/NºAsuntos!E12," - ")</f>
        <v>0.95508326029798418</v>
      </c>
      <c r="AM12" s="263">
        <f>IF(ISNUMBER(((NºAsuntos!I12/NºAsuntos!G12)*11)/factor_trimestre),((NºAsuntos!I12/NºAsuntos!G12)*11)/factor_trimestre," - ")</f>
        <v>7.8986005964670802</v>
      </c>
      <c r="AN12" s="247">
        <f>IF(ISNUMBER('Resol  Asuntos'!D12/NºAsuntos!G12),'Resol  Asuntos'!D12/NºAsuntos!G12," - ")</f>
        <v>0.15255792612984628</v>
      </c>
      <c r="AO12" s="248">
        <f>IF(ISNUMBER((NºAsuntos!C12+NºAsuntos!E12)/NºAsuntos!G12),(NºAsuntos!C12+NºAsuntos!E12)/NºAsuntos!G12," - ")</f>
        <v>1.7935306262904336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31</v>
      </c>
      <c r="G13" s="869">
        <f t="shared" si="3"/>
        <v>31</v>
      </c>
      <c r="H13" s="868">
        <f t="shared" si="3"/>
        <v>0</v>
      </c>
      <c r="I13" s="870">
        <f t="shared" si="3"/>
        <v>0</v>
      </c>
      <c r="J13" s="870">
        <f t="shared" si="3"/>
        <v>0</v>
      </c>
      <c r="K13" s="870">
        <f t="shared" si="3"/>
        <v>0</v>
      </c>
      <c r="L13" s="870">
        <f t="shared" si="3"/>
        <v>891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56</v>
      </c>
      <c r="X13" s="870">
        <f t="shared" si="4"/>
        <v>605</v>
      </c>
      <c r="Y13" s="871">
        <f t="shared" si="4"/>
        <v>661</v>
      </c>
      <c r="Z13" s="871">
        <f t="shared" si="4"/>
        <v>0</v>
      </c>
      <c r="AA13" s="871">
        <f t="shared" si="4"/>
        <v>68</v>
      </c>
      <c r="AB13" s="871">
        <f t="shared" si="4"/>
        <v>4375</v>
      </c>
      <c r="AC13" s="871">
        <f t="shared" si="4"/>
        <v>69</v>
      </c>
      <c r="AD13" s="871">
        <f t="shared" si="4"/>
        <v>0</v>
      </c>
      <c r="AE13" s="875">
        <f t="shared" si="4"/>
        <v>0</v>
      </c>
      <c r="AF13" s="868">
        <f t="shared" si="4"/>
        <v>0</v>
      </c>
      <c r="AG13" s="876">
        <f t="shared" si="4"/>
        <v>0</v>
      </c>
      <c r="AH13" s="873">
        <f t="shared" si="4"/>
        <v>0</v>
      </c>
      <c r="AI13" s="868">
        <f t="shared" si="4"/>
        <v>701</v>
      </c>
      <c r="AJ13" s="870">
        <f t="shared" si="4"/>
        <v>0</v>
      </c>
      <c r="AK13" s="873">
        <f>SUBTOTAL(9,AK9:AK12)</f>
        <v>0</v>
      </c>
      <c r="AL13" s="877">
        <f>IF(ISNUMBER(NºAsuntos!G13/NºAsuntos!E13),NºAsuntos!G13/NºAsuntos!E13," - ")</f>
        <v>0.94803521580416572</v>
      </c>
      <c r="AM13" s="877">
        <f>IF(ISNUMBER(((NºAsuntos!I13/NºAsuntos!G13)*11)/factor_trimestre),((NºAsuntos!I13/NºAsuntos!G13)*11)/factor_trimestre," - ")</f>
        <v>7.9678369195922993</v>
      </c>
      <c r="AN13" s="878">
        <f>IF(ISNUMBER('Resol  Asuntos'!D13/NºAsuntos!G13),'Resol  Asuntos'!D13/NºAsuntos!G13," - ")</f>
        <v>0.15877689694224237</v>
      </c>
      <c r="AO13" s="879">
        <f>IF(ISNUMBER((NºAsuntos!C13+NºAsuntos!E13)/NºAsuntos!G13),(NºAsuntos!C13+NºAsuntos!E13)/NºAsuntos!G13," - ")</f>
        <v>1.7988674971687428</v>
      </c>
      <c r="AP13" s="880" t="str">
        <f t="shared" si="2"/>
        <v xml:space="preserve"> - </v>
      </c>
      <c r="AQ13" s="880">
        <f>IF(ISNUMBER((H13-W13+K13)/(F13)),(H13-W13+K13)/(F13)," - ")</f>
        <v>-1.8064516129032258</v>
      </c>
      <c r="AR13" s="881">
        <f>IF(ISNUMBER((Datos!P13-Datos!Q13)/(Datos!R13-Datos!P13+Datos!Q13)),(Datos!P13-Datos!Q13)/(Datos!R13-Datos!P13+Datos!Q13)," - ")</f>
        <v>6.9943751528491069E-2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1195</v>
      </c>
      <c r="G16" s="336">
        <f>IF(ISNUMBER(IF(D_I="SI",Datos!I16,Datos!I16+Datos!AC16)),IF(D_I="SI",Datos!I16,Datos!I16+Datos!AC16)," - ")</f>
        <v>1742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4582</v>
      </c>
      <c r="X16" s="229">
        <f>IF(ISNUMBER(Datos!Q16),Datos!Q16," - ")</f>
        <v>166</v>
      </c>
      <c r="Y16" s="337">
        <f t="shared" ref="Y16:Y17" si="7">SUM(W16:X16)</f>
        <v>4748</v>
      </c>
      <c r="Z16" s="338" t="str">
        <f>IF(ISNUMBER(Datos!CC16),Datos!CC16," - ")</f>
        <v xml:space="preserve"> - </v>
      </c>
      <c r="AA16" s="335">
        <f>IF(ISNUMBER(IF(D_I="SI",Datos!L16,Datos!L16+Datos!AF16)),IF(D_I="SI",Datos!L16,Datos!L16+Datos!AF16)," - ")</f>
        <v>1738</v>
      </c>
      <c r="AB16" s="337">
        <f>IF(ISNUMBER(Datos!R16),Datos!R16," - ")</f>
        <v>271</v>
      </c>
      <c r="AC16" s="337">
        <f t="shared" si="6"/>
        <v>2009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580</v>
      </c>
      <c r="AJ16" s="234" t="str">
        <f>IF(ISNUMBER(Datos!BW16),Datos!BW16," - ")</f>
        <v xml:space="preserve"> - </v>
      </c>
      <c r="AK16" s="235" t="str">
        <f>IF(ISNUMBER(Datos!BX16),Datos!BX16," - ")</f>
        <v xml:space="preserve"> - </v>
      </c>
      <c r="AL16" s="246">
        <f>IF(ISNUMBER(NºAsuntos!G16/NºAsuntos!E16),NºAsuntos!G16/NºAsuntos!E16," - ")</f>
        <v>0.89404878048780489</v>
      </c>
      <c r="AM16" s="263">
        <f>IF(ISNUMBER(((NºAsuntos!I16/NºAsuntos!G16)*11)/factor_trimestre),((NºAsuntos!I16/NºAsuntos!G16)*11)/factor_trimestre," - ")</f>
        <v>4.1724137931034484</v>
      </c>
      <c r="AN16" s="247">
        <f>IF(ISNUMBER('Resol  Asuntos'!D16/NºAsuntos!G16),'Resol  Asuntos'!D16/NºAsuntos!G16," - ")</f>
        <v>0.12658227848101267</v>
      </c>
      <c r="AO16" s="248">
        <f>IF(ISNUMBER((NºAsuntos!C16+NºAsuntos!E16)/NºAsuntos!G16),(NºAsuntos!C16+NºAsuntos!E16)/NºAsuntos!G16," - ")</f>
        <v>1.4986905281536447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591</v>
      </c>
      <c r="X17" s="229">
        <f>IF(ISNUMBER(Datos!Q17),Datos!Q17," - ")</f>
        <v>19</v>
      </c>
      <c r="Y17" s="337">
        <f t="shared" si="7"/>
        <v>610</v>
      </c>
      <c r="Z17" s="338" t="str">
        <f>IF(ISNUMBER(Datos!CC17),Datos!CC17," - ")</f>
        <v xml:space="preserve"> - </v>
      </c>
      <c r="AA17" s="335">
        <f>IF(ISNUMBER(Datos!L17),Datos!L17,"-")</f>
        <v>181</v>
      </c>
      <c r="AB17" s="337">
        <f>IF(ISNUMBER(Datos!R17),Datos!R17," - ")</f>
        <v>17</v>
      </c>
      <c r="AC17" s="337">
        <f t="shared" si="6"/>
        <v>198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119</v>
      </c>
      <c r="AJ17" s="234" t="str">
        <f>IF(ISNUMBER(Datos!BW17),Datos!BW17," - ")</f>
        <v xml:space="preserve"> - </v>
      </c>
      <c r="AK17" s="235" t="str">
        <f>IF(ISNUMBER(Datos!BX17),Datos!BX17," - ")</f>
        <v xml:space="preserve"> - </v>
      </c>
      <c r="AL17" s="246">
        <f>IF(ISNUMBER(NºAsuntos!G17/NºAsuntos!E17),NºAsuntos!G17/NºAsuntos!E17," - ")</f>
        <v>0.97203947368421051</v>
      </c>
      <c r="AM17" s="263">
        <f>IF(ISNUMBER(((NºAsuntos!I17/NºAsuntos!G17)*11)/factor_trimestre),((NºAsuntos!I17/NºAsuntos!G17)*11)/factor_trimestre," - ")</f>
        <v>3.3688663282571909</v>
      </c>
      <c r="AN17" s="247">
        <f>IF(ISNUMBER('Resol  Asuntos'!D17/NºAsuntos!G17),'Resol  Asuntos'!D17/NºAsuntos!G17," - ")</f>
        <v>0.20135363790186125</v>
      </c>
      <c r="AO17" s="248">
        <f>IF(ISNUMBER((NºAsuntos!C17+NºAsuntos!E17)/NºAsuntos!G17),(NºAsuntos!C17+NºAsuntos!E17)/NºAsuntos!G17," - ")</f>
        <v>1.3113367174280879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1195</v>
      </c>
      <c r="G18" s="869">
        <f>SUBTOTAL(9,G15:G17)</f>
        <v>1909</v>
      </c>
      <c r="H18" s="868">
        <f t="shared" ref="H18:O18" si="10">SUBTOTAL(9,H14:H17)</f>
        <v>0</v>
      </c>
      <c r="I18" s="870">
        <f t="shared" si="10"/>
        <v>0</v>
      </c>
      <c r="J18" s="870">
        <f t="shared" si="10"/>
        <v>0</v>
      </c>
      <c r="K18" s="870">
        <f t="shared" si="10"/>
        <v>0</v>
      </c>
      <c r="L18" s="870">
        <f t="shared" si="10"/>
        <v>161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5173</v>
      </c>
      <c r="X18" s="870">
        <f t="shared" si="11"/>
        <v>185</v>
      </c>
      <c r="Y18" s="871">
        <f t="shared" si="11"/>
        <v>5358</v>
      </c>
      <c r="Z18" s="871">
        <f t="shared" si="11"/>
        <v>0</v>
      </c>
      <c r="AA18" s="871">
        <f t="shared" si="11"/>
        <v>1919</v>
      </c>
      <c r="AB18" s="871">
        <f t="shared" si="11"/>
        <v>288</v>
      </c>
      <c r="AC18" s="871">
        <f t="shared" si="11"/>
        <v>2207</v>
      </c>
      <c r="AD18" s="871">
        <f t="shared" si="11"/>
        <v>0</v>
      </c>
      <c r="AE18" s="875">
        <f t="shared" si="11"/>
        <v>0</v>
      </c>
      <c r="AF18" s="868">
        <f t="shared" si="11"/>
        <v>0</v>
      </c>
      <c r="AG18" s="876">
        <f t="shared" si="11"/>
        <v>0</v>
      </c>
      <c r="AH18" s="873">
        <f t="shared" si="11"/>
        <v>0</v>
      </c>
      <c r="AI18" s="868">
        <f t="shared" si="11"/>
        <v>699</v>
      </c>
      <c r="AJ18" s="870">
        <f t="shared" si="11"/>
        <v>0</v>
      </c>
      <c r="AK18" s="873">
        <f t="shared" si="11"/>
        <v>0</v>
      </c>
      <c r="AL18" s="877">
        <f>IF(ISNUMBER(NºAsuntos!G18/NºAsuntos!E18),NºAsuntos!G18/NºAsuntos!E18," - ")</f>
        <v>0.90231990231990233</v>
      </c>
      <c r="AM18" s="877">
        <f>IF(ISNUMBER(((NºAsuntos!I18/NºAsuntos!G18)*11)/factor_trimestre),((NºAsuntos!I18/NºAsuntos!G18)*11)/factor_trimestre," - ")</f>
        <v>4.0806108641020682</v>
      </c>
      <c r="AN18" s="878">
        <f>IF(ISNUMBER('Resol  Asuntos'!D18/NºAsuntos!G18),'Resol  Asuntos'!D18/NºAsuntos!G18," - ")</f>
        <v>0.13512468586893486</v>
      </c>
      <c r="AO18" s="879">
        <f>IF(ISNUMBER((NºAsuntos!C18+NºAsuntos!E18)/NºAsuntos!G18),(NºAsuntos!C18+NºAsuntos!E18)/NºAsuntos!G18," - ")</f>
        <v>1.477285907597139</v>
      </c>
      <c r="AP18" s="880" t="str">
        <f t="shared" si="2"/>
        <v xml:space="preserve"> - </v>
      </c>
      <c r="AQ18" s="880">
        <f>IF(ISNUMBER((H18-W18+K18)/(F18)),(H18-W18+K18)/(F18)," - ")</f>
        <v>-4.3288702928870295</v>
      </c>
      <c r="AR18" s="881">
        <f>IF(ISNUMBER((Datos!P18-Datos!Q18)/(Datos!R18-Datos!P18+Datos!Q18)),(Datos!P18-Datos!Q18)/(Datos!R18-Datos!P18+Datos!Q18)," - ")</f>
        <v>-7.6923076923076927E-2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1226</v>
      </c>
      <c r="G19" s="824">
        <f t="shared" si="13"/>
        <v>1940</v>
      </c>
      <c r="H19" s="823">
        <f t="shared" si="13"/>
        <v>0</v>
      </c>
      <c r="I19" s="825">
        <f t="shared" si="13"/>
        <v>0</v>
      </c>
      <c r="J19" s="825">
        <f t="shared" si="13"/>
        <v>0</v>
      </c>
      <c r="K19" s="884">
        <f t="shared" si="13"/>
        <v>0</v>
      </c>
      <c r="L19" s="825">
        <f t="shared" si="13"/>
        <v>1052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5229</v>
      </c>
      <c r="X19" s="824">
        <f t="shared" si="14"/>
        <v>790</v>
      </c>
      <c r="Y19" s="831">
        <f t="shared" si="14"/>
        <v>6019</v>
      </c>
      <c r="Z19" s="831">
        <f t="shared" si="14"/>
        <v>0</v>
      </c>
      <c r="AA19" s="831">
        <f t="shared" si="14"/>
        <v>1987</v>
      </c>
      <c r="AB19" s="831">
        <f t="shared" si="14"/>
        <v>4663</v>
      </c>
      <c r="AC19" s="831">
        <f t="shared" si="14"/>
        <v>2276</v>
      </c>
      <c r="AD19" s="831">
        <f t="shared" si="14"/>
        <v>0</v>
      </c>
      <c r="AE19" s="833">
        <f t="shared" si="14"/>
        <v>0</v>
      </c>
      <c r="AF19" s="834">
        <f t="shared" si="14"/>
        <v>0</v>
      </c>
      <c r="AG19" s="835">
        <f t="shared" si="14"/>
        <v>0</v>
      </c>
      <c r="AH19" s="833">
        <f t="shared" si="14"/>
        <v>0</v>
      </c>
      <c r="AI19" s="823">
        <f t="shared" si="14"/>
        <v>1400</v>
      </c>
      <c r="AJ19" s="823">
        <f t="shared" si="14"/>
        <v>0</v>
      </c>
      <c r="AK19" s="833">
        <f t="shared" si="14"/>
        <v>0</v>
      </c>
      <c r="AL19" s="887">
        <f>IF(ISNUMBER(NºAsuntos!G19/NºAsuntos!E19),NºAsuntos!G19/NºAsuntos!E19," - ")</f>
        <v>0.92281039461020209</v>
      </c>
      <c r="AM19" s="888">
        <f>IF(ISNUMBER(((NºAsuntos!I19/NºAsuntos!G19)*11)/factor_trimestre),((NºAsuntos!I19/NºAsuntos!G19)*11)/factor_trimestre," - ")</f>
        <v>5.8705673758865249</v>
      </c>
      <c r="AN19" s="888">
        <f>IF(ISNUMBER('Resol  Asuntos'!D19/NºAsuntos!G19),'Resol  Asuntos'!D19/NºAsuntos!G19," - ")</f>
        <v>0.14601585314977056</v>
      </c>
      <c r="AO19" s="889">
        <f>IF(ISNUMBER((NºAsuntos!C19+NºAsuntos!E19)/NºAsuntos!G19),(NºAsuntos!C19+NºAsuntos!E19)/NºAsuntos!G19," - ")</f>
        <v>1.6253650396328745</v>
      </c>
      <c r="AP19" s="890" t="str">
        <f t="shared" si="2"/>
        <v xml:space="preserve"> - </v>
      </c>
      <c r="AQ19" s="891">
        <f>IF(OR(ISNUMBER(FIND("01",Criterios!A8,1)),ISNUMBER(FIND("02",Criterios!A8,1)),ISNUMBER(FIND("03",Criterios!A8,1)),ISNUMBER(FIND("04",Criterios!A8,1))),(I19-W19+K19)/(F19-K19),(H19-W19+K19)/(F19-K19))</f>
        <v>-4.2650897226753672</v>
      </c>
      <c r="AR19" s="892">
        <f>IF(ISNUMBER((Datos!P19-Datos!Q19)/(Datos!R19-Datos!P19+Datos!Q19)),(Datos!P19-Datos!Q19)/(Datos!R19-Datos!P19+Datos!Q19)," - ")</f>
        <v>5.9531924562599411E-2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672.03571333672437</v>
      </c>
      <c r="G21" s="256">
        <f>IF(ISNUMBER(STDEV(G8:G18)),STDEV(G8:G18),"-")</f>
        <v>961.48010899862095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2561.0668284915955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305.75066094232182</v>
      </c>
      <c r="AJ21" s="255">
        <f t="shared" si="18"/>
        <v>0</v>
      </c>
      <c r="AK21" s="257">
        <f t="shared" si="18"/>
        <v>0</v>
      </c>
      <c r="AL21" s="252">
        <f t="shared" si="18"/>
        <v>0.13901565254516357</v>
      </c>
      <c r="AM21" s="253">
        <f t="shared" si="18"/>
        <v>3.7851950809270152</v>
      </c>
      <c r="AN21" s="253">
        <f t="shared" si="18"/>
        <v>0.20090141748317283</v>
      </c>
      <c r="AO21" s="254">
        <f t="shared" si="18"/>
        <v>0.32321076733600818</v>
      </c>
      <c r="AP21" s="294" t="str">
        <f t="shared" si="18"/>
        <v>-</v>
      </c>
      <c r="AQ21" s="295">
        <f t="shared" si="18"/>
        <v>1.7836193536081668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MzDoSic/lZo2gOtqt8LlnI1dVs3Bva9o5a2rEzshVBYRAF/XRkZ9g7Suc1QtYLgRfAR4t8o7NtXcm/QWpNxEA==" saltValue="ArdBVAmazhV1HbDom/jZ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REQUENA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1.0217391304347827</v>
      </c>
      <c r="F10" s="351">
        <f>IF(ISNUMBER((Datos!K10-Datos!U10)/Datos!U10),(Datos!K10-Datos!U10)/Datos!U10," - ")</f>
        <v>0.21739130434782608</v>
      </c>
      <c r="G10" s="352">
        <f>IF(ISNUMBER((Datos!L10-Datos!V10)/Datos!V10),(Datos!L10-Datos!V10)/Datos!V10," - ")</f>
        <v>1.1935483870967742</v>
      </c>
      <c r="H10" s="233">
        <f>IF(ISNUMBER((Datos!M10-Datos!W10)/Datos!W10),(Datos!M10-Datos!W10)/Datos!W10," - ")</f>
        <v>0.33333333333333331</v>
      </c>
      <c r="I10" s="353">
        <f>IF(ISNUMBER((Tasas!C10-Datos!BE10)/Datos!BE10),(Tasas!C10-Datos!BE10)/Datos!BE10," - ")</f>
        <v>0.80184331797235009</v>
      </c>
      <c r="J10" s="352">
        <f>IF(ISNUMBER((Tasas!D10-Datos!BF10)/Datos!BF10),(Tasas!D10-Datos!BF10)/Datos!BF10," - ")</f>
        <v>9.5238095238095219E-2</v>
      </c>
      <c r="K10" s="354">
        <f>IF(ISNUMBER((Tasas!E10-Datos!BG10)/Datos!BG10),(Tasas!E10-Datos!BG10)/Datos!BG10," - ")</f>
        <v>0.32282003710575136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-5.9405940594059403E-2</v>
      </c>
      <c r="I12" s="353">
        <f>IF(ISNUMBER((Tasas!C12-Datos!BE12)/Datos!BE12),(Tasas!C12-Datos!BE12)/Datos!BE12," - ")</f>
        <v>-2.0012145920816304E-2</v>
      </c>
      <c r="J12" s="352">
        <f>IF(ISNUMBER((Tasas!D12-Datos!BF12)/Datos!BF12),(Tasas!D12-Datos!BF12)/Datos!BF12," - ")</f>
        <v>-0.73093337968917893</v>
      </c>
      <c r="K12" s="354">
        <f>IF(ISNUMBER((Tasas!E12-Datos!BG12)/Datos!BG12),(Tasas!E12-Datos!BG12)/Datos!BG12," - ")</f>
        <v>0.11150844423050739</v>
      </c>
      <c r="M12" t="e">
        <f>IF(Monitorios="SI",Datos!CE12,0)</f>
        <v>#REF!</v>
      </c>
      <c r="N12" t="e">
        <f>IF(Monitorios="SI",Datos!CF12,0)</f>
        <v>#REF!</v>
      </c>
      <c r="O12" t="e">
        <f>IF(Monitorios="SI",Datos!CG12,0)</f>
        <v>#REF!</v>
      </c>
      <c r="P12" t="e">
        <f>IF(Monitorios="SI",Datos!CH12,0)</f>
        <v>#REF!</v>
      </c>
      <c r="Q12">
        <f>IF(J_V="SI",0,Datos!AG12)</f>
        <v>169</v>
      </c>
      <c r="R12">
        <f>IF(J_V="SI",0,Datos!AH12)</f>
        <v>473</v>
      </c>
      <c r="S12">
        <f>IF(J_V="SI",0,Datos!AI12)</f>
        <v>433</v>
      </c>
      <c r="T12">
        <f>IF(J_V="SI",0,Datos!AJ12)</f>
        <v>210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-4.4959128065395093E-2</v>
      </c>
      <c r="I13" s="360">
        <f>IF(ISNUMBER((Tasas!C13-Datos!BE13)/Datos!BE13),(Tasas!C13-Datos!BE13)/Datos!BE13," - ")</f>
        <v>-1.0607879944357329E-2</v>
      </c>
      <c r="J13" s="358">
        <f>IF(ISNUMBER((Tasas!D13-Datos!BF13)/Datos!BF13),(Tasas!D13-Datos!BF13)/Datos!BF13," - ")</f>
        <v>-0.72006603670733138</v>
      </c>
      <c r="K13" s="361">
        <f>IF(ISNUMBER((Tasas!E13-Datos!BG13)/Datos!BG13),(Tasas!E13-Datos!BG13)/Datos!BG13," - ")</f>
        <v>0.1143888526572069</v>
      </c>
      <c r="M13" t="e">
        <f>IF(Monitorios="SI",Datos!CE13,0)</f>
        <v>#REF!</v>
      </c>
      <c r="N13" t="e">
        <f>IF(Monitorios="SI",Datos!CF13,0)</f>
        <v>#REF!</v>
      </c>
      <c r="O13" t="e">
        <f>IF(Monitorios="SI",Datos!CG13,0)</f>
        <v>#REF!</v>
      </c>
      <c r="P13" t="e">
        <f>IF(Monitorios="SI",Datos!CH13,0)</f>
        <v>#REF!</v>
      </c>
      <c r="Q13">
        <f>IF(J_V="SI",0,Datos!AG13)</f>
        <v>169</v>
      </c>
      <c r="R13">
        <f>IF(J_V="SI",0,Datos!AH13)</f>
        <v>473</v>
      </c>
      <c r="S13">
        <f>IF(J_V="SI",0,Datos!AI13)</f>
        <v>433</v>
      </c>
      <c r="T13">
        <f>IF(J_V="SI",0,Datos!AJ13)</f>
        <v>210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0.14831905075807514</v>
      </c>
      <c r="E16" s="351">
        <f>IF(ISNUMBER(
   IF(D_I="SI",(Datos!J16-Datos!T16)/Datos!T16,(Datos!J16+Datos!AD16-(Datos!T16+Datos!AL16))/(Datos!T16+Datos!AL16))
     ),IF(D_I="SI",(Datos!J16-Datos!T16)/Datos!T16,(Datos!J16+Datos!AD16-(Datos!T16+Datos!AL16))/(Datos!T16+Datos!AL16))," - ")</f>
        <v>1.5454725579552209E-2</v>
      </c>
      <c r="F16" s="351">
        <f>IF(ISNUMBER(
   IF(D_I="SI",(Datos!K16-Datos!U16)/Datos!U16,(Datos!K16+Datos!AE16-(Datos!U16+Datos!AM16))/(Datos!U16+Datos!AM16))
     ),IF(D_I="SI",(Datos!K16-Datos!U16)/Datos!U16,(Datos!K16+Datos!AE16-(Datos!U16+Datos!AM16))/(Datos!U16+Datos!AM16))," - ")</f>
        <v>1.3268465280849183E-2</v>
      </c>
      <c r="G16" s="352">
        <f>IF(ISNUMBER(
   IF(D_I="SI",(Datos!L16-Datos!V16)/Datos!V16,(Datos!L16+Datos!AF16-(Datos!V16+Datos!AN16))/(Datos!V16+Datos!AN16))
     ),IF(D_I="SI",(Datos!L16-Datos!V16)/Datos!V16,(Datos!L16+Datos!AF16-(Datos!V16+Datos!AN16))/(Datos!V16+Datos!AN16))," - ")</f>
        <v>-2.2962112514351321E-3</v>
      </c>
      <c r="H16" s="233">
        <f>IF(ISNUMBER((Datos!M16-Datos!W16)/Datos!W16),(Datos!M16-Datos!W16)/Datos!W16," - ")</f>
        <v>-0.1876750700280112</v>
      </c>
      <c r="I16" s="353">
        <f>IF(ISNUMBER((Tasas!C16-Datos!BE16)/Datos!BE16),(Tasas!C16-Datos!BE16)/Datos!BE16," - ")</f>
        <v>-1.5360861475117766E-2</v>
      </c>
      <c r="J16" s="352">
        <f>IF(ISNUMBER((Tasas!D16-Datos!BF16)/Datos!BF16),(Tasas!D16-Datos!BF16)/Datos!BF16," - ")</f>
        <v>-0.19831223628691974</v>
      </c>
      <c r="K16" s="354">
        <f>IF(ISNUMBER((Tasas!E16-Datos!BG16)/Datos!BG16),(Tasas!E16-Datos!BG16)/Datos!BG16," - ")</f>
        <v>3.2461695355085467E-2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0.51818181818181819</v>
      </c>
      <c r="E17" s="351">
        <f>IF(ISNUMBER(
   IF(D_I="SI",(Datos!J17-Datos!T17)/Datos!T17,(Datos!J17+Datos!AD17-(Datos!T17+Datos!AL17))/(Datos!T17+Datos!AL17))
     ),IF(D_I="SI",(Datos!J17-Datos!T17)/Datos!T17,(Datos!J17+Datos!AD17-(Datos!T17+Datos!AL17))/(Datos!T17+Datos!AL17))," - ")</f>
        <v>0.25879917184265011</v>
      </c>
      <c r="F17" s="351">
        <f>IF(ISNUMBER(
   IF(D_I="SI",(Datos!K17-Datos!U17)/Datos!U17,(Datos!K17+Datos!AE17-(Datos!U17+Datos!AM17))/(Datos!U17+Datos!AM17))
     ),IF(D_I="SI",(Datos!K17-Datos!U17)/Datos!U17,(Datos!K17+Datos!AE17-(Datos!U17+Datos!AM17))/(Datos!U17+Datos!AM17))," - ")</f>
        <v>0.38732394366197181</v>
      </c>
      <c r="G17" s="352">
        <f>IF(ISNUMBER(
   IF(D_I="SI",(Datos!L17-Datos!V17)/Datos!V17,(Datos!L17+Datos!AF17-(Datos!V17+Datos!AN17))/(Datos!V17+Datos!AN17))
     ),IF(D_I="SI",(Datos!L17-Datos!V17)/Datos!V17,(Datos!L17+Datos!AF17-(Datos!V17+Datos!AN17))/(Datos!V17+Datos!AN17))," - ")</f>
        <v>8.3832335329341312E-2</v>
      </c>
      <c r="H17" s="233">
        <f>IF(ISNUMBER((Datos!M17-Datos!W17)/Datos!W17),(Datos!M17-Datos!W17)/Datos!W17," - ")</f>
        <v>0.54545454545454541</v>
      </c>
      <c r="I17" s="353">
        <f>IF(ISNUMBER((Tasas!C17-Datos!BE17)/Datos!BE17),(Tasas!C17-Datos!BE17)/Datos!BE17," - ")</f>
        <v>-0.2187604486458555</v>
      </c>
      <c r="J17" s="352">
        <f>IF(ISNUMBER((Tasas!D17-Datos!BF17)/Datos!BF17),(Tasas!D17-Datos!BF17)/Datos!BF17," - ")</f>
        <v>0.11398246423627136</v>
      </c>
      <c r="K17" s="354">
        <f>IF(ISNUMBER((Tasas!E17-Datos!BG17)/Datos!BG17),(Tasas!E17-Datos!BG17)/Datos!BG17," - ")</f>
        <v>-5.7960469436145967E-2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0.17332513829133375</v>
      </c>
      <c r="E18" s="357">
        <f>IF(ISNUMBER(
   IF(D_I="SI",(Datos!J18-Datos!T18)/Datos!T18,(Datos!J18+Datos!AD18-(Datos!T18+Datos!AL18))/(Datos!T18+Datos!AL18))
     ),IF(D_I="SI",(Datos!J18-Datos!T18)/Datos!T18,(Datos!J18+Datos!AD18-(Datos!T18+Datos!AL18))/(Datos!T18+Datos!AL18))," - ")</f>
        <v>3.6708860759493672E-2</v>
      </c>
      <c r="F18" s="357">
        <f>IF(ISNUMBER(
   IF(D_I="SI",(Datos!K18-Datos!U18)/Datos!U18,(Datos!K18+Datos!AE18-(Datos!U18+Datos!AM18))/(Datos!U18+Datos!AM18))
     ),IF(D_I="SI",(Datos!K18-Datos!U18)/Datos!U18,(Datos!K18+Datos!AE18-(Datos!U18+Datos!AM18))/(Datos!U18+Datos!AM18))," - ")</f>
        <v>4.547291835084883E-2</v>
      </c>
      <c r="G18" s="358">
        <f>IF(ISNUMBER(
   IF(D_I="SI",(Datos!L18-Datos!V18)/Datos!V18,(Datos!L18+Datos!AF18-(Datos!V18+Datos!AN18))/(Datos!V18+Datos!AN18))
     ),IF(D_I="SI",(Datos!L18-Datos!V18)/Datos!V18,(Datos!L18+Datos!AF18-(Datos!V18+Datos!AN18))/(Datos!V18+Datos!AN18))," - ")</f>
        <v>5.2383446830801469E-3</v>
      </c>
      <c r="H18" s="359">
        <f>IF(ISNUMBER((Datos!M18-Datos!W18)/Datos!W18),(Datos!M18-Datos!W18)/Datos!W18," - ")</f>
        <v>-0.11630847029077118</v>
      </c>
      <c r="I18" s="360">
        <f>IF(ISNUMBER((Tasas!C18-Datos!BE18)/Datos!BE18),(Tasas!C18-Datos!BE18)/Datos!BE18," - ")</f>
        <v>-3.8484568047191178E-2</v>
      </c>
      <c r="J18" s="358">
        <f>IF(ISNUMBER((Tasas!D18-Datos!BF18)/Datos!BF18),(Tasas!D18-Datos!BF18)/Datos!BF18," - ")</f>
        <v>-0.1547446957275731</v>
      </c>
      <c r="K18" s="361">
        <f>IF(ISNUMBER((Tasas!E18-Datos!BG18)/Datos!BG18),(Tasas!E18-Datos!BG18)/Datos!BG18," - ")</f>
        <v>2.1323273828509688E-2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0.34524734524734524</v>
      </c>
      <c r="E19" s="366">
        <f>IF(ISNUMBER(
   IF(J_V="SI",(Datos!J19-Datos!T19)/Datos!T19,(Datos!J19+Datos!Z19-(Datos!T19+Datos!AH19))/(Datos!T19+Datos!AH19))
     ),IF(J_V="SI",(Datos!J19-Datos!T19)/Datos!T19,(Datos!J19+Datos!Z19-(Datos!T19+Datos!AH19))/(Datos!T19+Datos!AH19))," - ")</f>
        <v>-1.4137963753676819E-2</v>
      </c>
      <c r="F19" s="366">
        <f>IF(ISNUMBER(
   IF(J_V="SI",(Datos!K19-Datos!U19)/Datos!U19,(Datos!K19+Datos!AA19-(Datos!U19+Datos!AI19))/(Datos!U19+Datos!AI19))
     ),IF(J_V="SI",(Datos!K19-Datos!U19)/Datos!U19,(Datos!K19+Datos!AA19-(Datos!U19+Datos!AI19))/(Datos!U19+Datos!AI19))," - ")</f>
        <v>1.6216216216216217E-2</v>
      </c>
      <c r="G19" s="367">
        <f>IF(ISNUMBER(
   IF(J_V="SI",(Datos!L19-Datos!V19)/Datos!V19,(Datos!L19+Datos!AB19-(Datos!V19+Datos!AJ19))/(Datos!V19+Datos!AJ19))
     ),IF(J_V="SI",(Datos!L19-Datos!V19)/Datos!V19,(Datos!L19+Datos!AB19-(Datos!V19+Datos!AJ19))/(Datos!V19+Datos!AJ19))," - ")</f>
        <v>-1.4824797843665768E-2</v>
      </c>
      <c r="H19" s="368">
        <f>IF(ISNUMBER((Datos!M19-Datos!W19)/Datos!W19),(Datos!M19-Datos!W19)/Datos!W19," - ")</f>
        <v>-8.1967213114754092E-2</v>
      </c>
      <c r="I19" s="365">
        <f>IF(ISNUMBER((Tasas!C19-Datos!BE19)/Datos!BE19),(Tasas!C19-Datos!BE19)/Datos!BE19," - ")</f>
        <v>-3.0545678729139263E-2</v>
      </c>
      <c r="J19" s="366">
        <f>IF(ISNUMBER((Tasas!D19-Datos!BF19)/Datos!BF19),(Tasas!D19-Datos!BF19)/Datos!BF19," - ")</f>
        <v>-0.58703250165824783</v>
      </c>
      <c r="K19" s="367">
        <f>IF(ISNUMBER((Tasas!E19-Datos!BG19)/Datos!BG19),(Tasas!E19-Datos!BG19)/Datos!BG19," - ")</f>
        <v>6.49527186761229E-2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0.2192605835303548</v>
      </c>
      <c r="E21" s="281">
        <f t="shared" si="1"/>
        <v>0.47204896286599496</v>
      </c>
      <c r="F21" s="281">
        <f t="shared" si="1"/>
        <v>0.17270300083948903</v>
      </c>
      <c r="G21" s="282">
        <f t="shared" si="1"/>
        <v>0.58361279167534508</v>
      </c>
      <c r="H21" s="288">
        <f t="shared" si="1"/>
        <v>0.29190623002965455</v>
      </c>
      <c r="I21" s="280">
        <f t="shared" si="1"/>
        <v>0.36099925688725321</v>
      </c>
      <c r="J21" s="281">
        <f t="shared" si="1"/>
        <v>0.37793591996685111</v>
      </c>
      <c r="K21" s="282">
        <f t="shared" si="1"/>
        <v>0.13052096435254867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Q1HmF7nHT0THp3Nghz1RiyHRSoYGXb/v/HXXTcw0OVdBJ6s8I1bTS/CJhIAHcVvCyu/707lo5wZu3dZw5vmCA==" saltValue="FxfMFRpwtBbZQ73iRPMD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